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ataFiles\SupplyChain\Wastage\2023\"/>
    </mc:Choice>
  </mc:AlternateContent>
  <xr:revisionPtr revIDLastSave="0" documentId="8_{C4036991-0067-4483-ABD8-E13103096AD1}" xr6:coauthVersionLast="47" xr6:coauthVersionMax="47" xr10:uidLastSave="{00000000-0000-0000-0000-000000000000}"/>
  <bookViews>
    <workbookView xWindow="-103" yWindow="-103" windowWidth="16663" windowHeight="10577" tabRatio="424" xr2:uid="{00000000-000D-0000-FFFF-FFFF00000000}"/>
  </bookViews>
  <sheets>
    <sheet name="simulation" sheetId="69" r:id="rId1"/>
    <sheet name="calculus" sheetId="70" r:id="rId2"/>
    <sheet name="Translation" sheetId="42" r:id="rId3"/>
  </sheets>
  <definedNames>
    <definedName name="_xlnm._FilterDatabase" localSheetId="2" hidden="1">Translation!$A$9:$I$175</definedName>
    <definedName name="_Key1" hidden="1">#REF!</definedName>
    <definedName name="_Order1" hidden="1">255</definedName>
    <definedName name="_Sort" hidden="1">#REF!</definedName>
    <definedName name="activity_type">Translation!$C$57:$C$58</definedName>
    <definedName name="administration">Translation!$C$73:$C$79</definedName>
    <definedName name="Annual_target_population">simulation!$C$5</definedName>
    <definedName name="calendrier">#REF!</definedName>
    <definedName name="Closed_vial_wastage_per_level">simulation!$C$10</definedName>
    <definedName name="Country">#REF!</definedName>
    <definedName name="Current_Year">#REF!</definedName>
    <definedName name="dilution">Translation!$C$81:$C$83</definedName>
    <definedName name="Districts">#REF!</definedName>
    <definedName name="group_cible">Translation!$C$43:$C$46</definedName>
    <definedName name="ITN">#REF!</definedName>
    <definedName name="l_ldl">Translation!$C$17:$C$18</definedName>
    <definedName name="l_sn">Translation!$C$16:$C$18</definedName>
    <definedName name="Langues">Translation!$D$9:$I$9</definedName>
    <definedName name="ldl">Translation!$C$17</definedName>
    <definedName name="levels">Translation!$C$15:$C$17</definedName>
    <definedName name="list_districts">#REF!</definedName>
    <definedName name="list_ld">#REF!</definedName>
    <definedName name="list_pr">#REF!</definedName>
    <definedName name="list_regions">#REF!</definedName>
    <definedName name="list_sn">#REF!</definedName>
    <definedName name="lower_facilities">Translation!$C$40:$C$41</definedName>
    <definedName name="mdvp">simulation!$E$8</definedName>
    <definedName name="mdvp_vax">Translation!$C$114:$C$118</definedName>
    <definedName name="n_1">Translation!$C$38</definedName>
    <definedName name="n_2">Translation!$C$39</definedName>
    <definedName name="n_3">Translation!$C$40</definedName>
    <definedName name="n_4">Translation!$C$41</definedName>
    <definedName name="niv_0">#REF!</definedName>
    <definedName name="niv_1">#REF!</definedName>
    <definedName name="niv_2">#REF!</definedName>
    <definedName name="nivel">#REF!</definedName>
    <definedName name="nivo">Translation!$C$15:$C$18</definedName>
    <definedName name="nivo0">#REF!</definedName>
    <definedName name="nivo1">#REF!</definedName>
    <definedName name="nivo2">#REF!</definedName>
    <definedName name="no">Translation!$C$114</definedName>
    <definedName name="No._of_doses_in_the_schedule">simulation!$C$6</definedName>
    <definedName name="No._of_supply_chain_levels">simulation!#REF!</definedName>
    <definedName name="No._of_weeks_in_year">simulation!$C$8</definedName>
    <definedName name="Opened_vial_wastage">simulation!$C$11</definedName>
    <definedName name="pr">Translation!$C$15</definedName>
    <definedName name="Regions">#REF!</definedName>
    <definedName name="sclevels">#REF!</definedName>
    <definedName name="sn">Translation!$C$16</definedName>
    <definedName name="solo">Translation!$C$40:$C$41</definedName>
    <definedName name="sp">Translation!$C$18</definedName>
    <definedName name="Structures">#REF!</definedName>
    <definedName name="Sublevels">Translation!$C$16:$C$18</definedName>
    <definedName name="subnat">Translation!$C$39:$C$40</definedName>
    <definedName name="Target_coverage">simulation!$C$7</definedName>
    <definedName name="VitA">#REF!</definedName>
    <definedName name="WIFR">#REF!</definedName>
  </definedNames>
  <calcPr calcId="191029" calcMode="autoNoTable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9" l="1"/>
  <c r="F23" i="69"/>
  <c r="D23" i="69"/>
  <c r="C153" i="42"/>
  <c r="C23" i="69"/>
  <c r="D1" i="42"/>
  <c r="C99" i="42"/>
  <c r="C114" i="42"/>
  <c r="B10" i="70"/>
  <c r="B11" i="70"/>
  <c r="D16" i="69"/>
  <c r="D17" i="69"/>
  <c r="D18" i="69"/>
  <c r="D19" i="69"/>
  <c r="D21" i="69"/>
  <c r="D20" i="69"/>
  <c r="D22" i="69"/>
  <c r="F10" i="70"/>
  <c r="F11" i="70"/>
  <c r="E16" i="69"/>
  <c r="E17" i="69"/>
  <c r="E18" i="69"/>
  <c r="E19" i="69"/>
  <c r="E21" i="69"/>
  <c r="E20" i="69"/>
  <c r="E22" i="69"/>
  <c r="J10" i="70"/>
  <c r="J11" i="70"/>
  <c r="F16" i="69"/>
  <c r="F17" i="69"/>
  <c r="F18" i="69"/>
  <c r="F19" i="69"/>
  <c r="F21" i="69"/>
  <c r="F20" i="69"/>
  <c r="F22" i="69"/>
  <c r="C125" i="42"/>
  <c r="D7" i="69"/>
  <c r="C122" i="42"/>
  <c r="C113" i="42"/>
  <c r="C123" i="42"/>
  <c r="C120" i="42"/>
  <c r="C119" i="42"/>
  <c r="C111" i="42"/>
  <c r="C124" i="42"/>
  <c r="C30" i="69"/>
  <c r="D10" i="70"/>
  <c r="C29" i="69"/>
  <c r="C10" i="70"/>
  <c r="E14" i="69"/>
  <c r="F14" i="69"/>
  <c r="D14" i="69"/>
  <c r="D13" i="69"/>
  <c r="D26" i="69"/>
  <c r="E28" i="69"/>
  <c r="F28" i="69"/>
  <c r="D28" i="69"/>
  <c r="E27" i="69"/>
  <c r="F27" i="69"/>
  <c r="D27" i="69"/>
  <c r="C28" i="69"/>
  <c r="B30" i="69"/>
  <c r="B29" i="69"/>
  <c r="B28" i="69"/>
  <c r="C127" i="42"/>
  <c r="B11" i="69"/>
  <c r="C126" i="42"/>
  <c r="B10" i="69"/>
  <c r="C132" i="42"/>
  <c r="E11" i="69"/>
  <c r="D6" i="69"/>
  <c r="C12" i="42"/>
  <c r="E3" i="69"/>
  <c r="C106" i="42"/>
  <c r="B5" i="69"/>
  <c r="C107" i="42"/>
  <c r="C110" i="42"/>
  <c r="B6" i="69"/>
  <c r="C105" i="42"/>
  <c r="D5" i="69"/>
  <c r="A132" i="42"/>
  <c r="A84" i="42"/>
  <c r="A121" i="42"/>
  <c r="A134" i="42"/>
  <c r="C84" i="42"/>
  <c r="A12" i="70"/>
  <c r="A13" i="70"/>
  <c r="A82" i="42"/>
  <c r="A83" i="42"/>
  <c r="A79" i="42"/>
  <c r="A80" i="42"/>
  <c r="A81" i="42"/>
  <c r="A77" i="42"/>
  <c r="A78" i="42"/>
  <c r="A75" i="42"/>
  <c r="A76" i="42"/>
  <c r="A73" i="42"/>
  <c r="A74" i="42"/>
  <c r="A158" i="42"/>
  <c r="A159" i="42"/>
  <c r="A160" i="42"/>
  <c r="A161" i="42"/>
  <c r="A162" i="42"/>
  <c r="A163" i="42"/>
  <c r="A164" i="42"/>
  <c r="A165" i="42"/>
  <c r="A166" i="42"/>
  <c r="A167" i="42"/>
  <c r="A168" i="42"/>
  <c r="A169" i="42"/>
  <c r="A170" i="42"/>
  <c r="A171" i="42"/>
  <c r="A172" i="42"/>
  <c r="A173" i="42"/>
  <c r="A174" i="42"/>
  <c r="A175" i="42"/>
  <c r="A94" i="42"/>
  <c r="A157" i="42"/>
  <c r="A156" i="42"/>
  <c r="A155" i="42"/>
  <c r="A154" i="42"/>
  <c r="C133" i="42"/>
  <c r="A153" i="42"/>
  <c r="A152" i="42"/>
  <c r="A151" i="42"/>
  <c r="A150" i="42"/>
  <c r="A57" i="42"/>
  <c r="A58" i="42"/>
  <c r="A56" i="42"/>
  <c r="A143" i="42"/>
  <c r="A136" i="42"/>
  <c r="A149" i="42"/>
  <c r="A148" i="42"/>
  <c r="A146" i="42"/>
  <c r="A147" i="42"/>
  <c r="A144" i="42"/>
  <c r="A145" i="42"/>
  <c r="A142" i="42"/>
  <c r="A141" i="42"/>
  <c r="A139" i="42"/>
  <c r="A140" i="42"/>
  <c r="A133" i="42"/>
  <c r="A135" i="42"/>
  <c r="A137" i="42"/>
  <c r="A138" i="42"/>
  <c r="A98" i="42"/>
  <c r="A102" i="42"/>
  <c r="A99" i="42"/>
  <c r="A97" i="42"/>
  <c r="A101" i="42"/>
  <c r="A103" i="42"/>
  <c r="A104" i="42"/>
  <c r="A105" i="42"/>
  <c r="A106" i="42"/>
  <c r="A127" i="42"/>
  <c r="A128" i="42"/>
  <c r="A129" i="42"/>
  <c r="A130" i="42"/>
  <c r="A131" i="42"/>
  <c r="A126" i="42"/>
  <c r="A125" i="42"/>
  <c r="A124" i="42"/>
  <c r="A123" i="42"/>
  <c r="A122" i="42"/>
  <c r="A120" i="42"/>
  <c r="A37" i="42"/>
  <c r="A38" i="42"/>
  <c r="A61" i="42"/>
  <c r="A117" i="42"/>
  <c r="A10" i="42"/>
  <c r="A11" i="42"/>
  <c r="A12" i="42"/>
  <c r="A13" i="42"/>
  <c r="A14" i="42"/>
  <c r="A15" i="42"/>
  <c r="A16" i="42"/>
  <c r="A17" i="42"/>
  <c r="A18" i="42"/>
  <c r="A19" i="42"/>
  <c r="A20" i="42"/>
  <c r="A21" i="42"/>
  <c r="A22" i="42"/>
  <c r="A23" i="42"/>
  <c r="A24" i="42"/>
  <c r="A25" i="42"/>
  <c r="A26" i="42"/>
  <c r="A27" i="42"/>
  <c r="A28" i="42"/>
  <c r="A29" i="42"/>
  <c r="A30" i="42"/>
  <c r="A31" i="42"/>
  <c r="A32" i="42"/>
  <c r="A33" i="42"/>
  <c r="A34" i="42"/>
  <c r="A35" i="42"/>
  <c r="A36" i="42"/>
  <c r="A39" i="42"/>
  <c r="A40" i="42"/>
  <c r="A41" i="42"/>
  <c r="A42" i="42"/>
  <c r="A43" i="42"/>
  <c r="A44" i="42"/>
  <c r="A45" i="42"/>
  <c r="A46" i="42"/>
  <c r="A47" i="42"/>
  <c r="A48" i="42"/>
  <c r="A49" i="42"/>
  <c r="A50" i="42"/>
  <c r="A51" i="42"/>
  <c r="A52" i="42"/>
  <c r="A53" i="42"/>
  <c r="A54" i="42"/>
  <c r="A55" i="42"/>
  <c r="A59" i="42"/>
  <c r="A60" i="42"/>
  <c r="A62" i="42"/>
  <c r="A63" i="42"/>
  <c r="A64" i="42"/>
  <c r="A65" i="42"/>
  <c r="A66" i="42"/>
  <c r="A67" i="42"/>
  <c r="A68" i="42"/>
  <c r="A69" i="42"/>
  <c r="A70" i="42"/>
  <c r="A71" i="42"/>
  <c r="A72" i="42"/>
  <c r="A85" i="42"/>
  <c r="A86" i="42"/>
  <c r="A87" i="42"/>
  <c r="A88" i="42"/>
  <c r="A89" i="42"/>
  <c r="A90" i="42"/>
  <c r="A91" i="42"/>
  <c r="A92" i="42"/>
  <c r="A93" i="42"/>
  <c r="A95" i="42"/>
  <c r="A96" i="42"/>
  <c r="A100" i="42"/>
  <c r="A107" i="42"/>
  <c r="A108" i="42"/>
  <c r="A109" i="42"/>
  <c r="A110" i="42"/>
  <c r="A111" i="42"/>
  <c r="A112" i="42"/>
  <c r="A113" i="42"/>
  <c r="A114" i="42"/>
  <c r="A115" i="42"/>
  <c r="A116" i="42"/>
  <c r="A118" i="42"/>
  <c r="A119" i="42"/>
  <c r="C54" i="42"/>
  <c r="C95" i="42"/>
  <c r="C109" i="42"/>
  <c r="B8" i="69"/>
  <c r="C155" i="42"/>
  <c r="C118" i="42"/>
  <c r="C21" i="42"/>
  <c r="C72" i="42"/>
  <c r="C104" i="42"/>
  <c r="B3" i="69"/>
  <c r="C112" i="42"/>
  <c r="C53" i="42"/>
  <c r="C142" i="42"/>
  <c r="C85" i="42"/>
  <c r="A1" i="42"/>
  <c r="C148" i="42"/>
  <c r="C67" i="42"/>
  <c r="C66" i="42"/>
  <c r="C96" i="42"/>
  <c r="C79" i="42"/>
  <c r="C62" i="42"/>
  <c r="C35" i="42"/>
  <c r="C34" i="42"/>
  <c r="C86" i="42"/>
  <c r="C145" i="42"/>
  <c r="C147" i="42"/>
  <c r="C146" i="42"/>
  <c r="C158" i="42"/>
  <c r="C23" i="42"/>
  <c r="C24" i="42"/>
  <c r="C13" i="42"/>
  <c r="C56" i="42"/>
  <c r="C169" i="42"/>
  <c r="C91" i="42"/>
  <c r="B7" i="42"/>
  <c r="C14" i="42"/>
  <c r="C90" i="42"/>
  <c r="B6" i="42"/>
  <c r="C102" i="42"/>
  <c r="C59" i="42"/>
  <c r="C159" i="42"/>
  <c r="C69" i="42"/>
  <c r="C33" i="42"/>
  <c r="C150" i="42"/>
  <c r="C160" i="42"/>
  <c r="C108" i="42"/>
  <c r="B7" i="69"/>
  <c r="C51" i="42"/>
  <c r="C130" i="42"/>
  <c r="A7" i="70"/>
  <c r="C22" i="42"/>
  <c r="C152" i="42"/>
  <c r="C173" i="42"/>
  <c r="C48" i="42"/>
  <c r="C89" i="42"/>
  <c r="B5" i="42"/>
  <c r="C18" i="42"/>
  <c r="C11" i="42"/>
  <c r="C30" i="42"/>
  <c r="C141" i="42"/>
  <c r="C166" i="42"/>
  <c r="C46" i="42"/>
  <c r="C47" i="42"/>
  <c r="C10" i="42"/>
  <c r="C22" i="69"/>
  <c r="C164" i="42"/>
  <c r="C78" i="42"/>
  <c r="C37" i="42"/>
  <c r="C39" i="42"/>
  <c r="C42" i="42"/>
  <c r="C92" i="42"/>
  <c r="C103" i="42"/>
  <c r="A1" i="69"/>
  <c r="C25" i="42"/>
  <c r="C52" i="42"/>
  <c r="C100" i="42"/>
  <c r="C154" i="42"/>
  <c r="C162" i="42"/>
  <c r="C167" i="42"/>
  <c r="C77" i="42"/>
  <c r="C45" i="42"/>
  <c r="C38" i="42"/>
  <c r="C87" i="42"/>
  <c r="B3" i="42"/>
  <c r="C93" i="42"/>
  <c r="C31" i="42"/>
  <c r="C129" i="42"/>
  <c r="A1" i="70"/>
  <c r="C68" i="42"/>
  <c r="C49" i="42"/>
  <c r="C40" i="42"/>
  <c r="C20" i="42"/>
  <c r="C144" i="42"/>
  <c r="C149" i="42"/>
  <c r="C157" i="42"/>
  <c r="C98" i="42"/>
  <c r="C19" i="69"/>
  <c r="C175" i="42"/>
  <c r="C161" i="42"/>
  <c r="C115" i="42"/>
  <c r="C71" i="42"/>
  <c r="C88" i="42"/>
  <c r="B4" i="42"/>
  <c r="C27" i="42"/>
  <c r="C131" i="42"/>
  <c r="H6" i="69"/>
  <c r="C50" i="42"/>
  <c r="C41" i="42"/>
  <c r="C26" i="42"/>
  <c r="C70" i="42"/>
  <c r="C143" i="42"/>
  <c r="C156" i="42"/>
  <c r="C97" i="42"/>
  <c r="C168" i="42"/>
  <c r="C165" i="42"/>
  <c r="C116" i="42"/>
  <c r="C128" i="42"/>
  <c r="C64" i="42"/>
  <c r="C63" i="42"/>
  <c r="C19" i="42"/>
  <c r="C101" i="42"/>
  <c r="C29" i="42"/>
  <c r="C28" i="42"/>
  <c r="C32" i="42"/>
  <c r="C65" i="42"/>
  <c r="C36" i="42"/>
  <c r="C60" i="42"/>
  <c r="C151" i="42"/>
  <c r="C94" i="42"/>
  <c r="C16" i="69"/>
  <c r="C163" i="42"/>
  <c r="C174" i="42"/>
  <c r="C57" i="42"/>
  <c r="C44" i="42"/>
  <c r="C55" i="42"/>
  <c r="C43" i="42"/>
  <c r="C17" i="42"/>
  <c r="C1" i="42"/>
  <c r="C172" i="42"/>
  <c r="C139" i="42"/>
  <c r="C73" i="42"/>
  <c r="C138" i="42"/>
  <c r="C136" i="42"/>
  <c r="C140" i="42"/>
  <c r="C121" i="42"/>
  <c r="B26" i="69"/>
  <c r="C137" i="42"/>
  <c r="C135" i="42"/>
  <c r="C134" i="42"/>
  <c r="C61" i="42"/>
  <c r="C82" i="42"/>
  <c r="C80" i="42"/>
  <c r="C81" i="42"/>
  <c r="C170" i="42"/>
  <c r="C58" i="42"/>
  <c r="C15" i="42"/>
  <c r="C16" i="42"/>
  <c r="C75" i="42"/>
  <c r="C18" i="69"/>
  <c r="C76" i="42"/>
  <c r="C17" i="69"/>
  <c r="A14" i="70"/>
  <c r="C74" i="42"/>
  <c r="C171" i="42"/>
  <c r="C83" i="42"/>
  <c r="C21" i="69"/>
  <c r="A9" i="70"/>
  <c r="J9" i="70"/>
  <c r="B13" i="69"/>
  <c r="C20" i="69"/>
  <c r="F9" i="70"/>
  <c r="B9" i="70"/>
  <c r="C7" i="70"/>
  <c r="A15" i="70"/>
  <c r="G7" i="70"/>
  <c r="K7" i="70"/>
  <c r="A16" i="70"/>
  <c r="A17" i="70"/>
  <c r="F16" i="70"/>
  <c r="A18" i="70"/>
  <c r="J17" i="70"/>
  <c r="F13" i="70"/>
  <c r="B14" i="70"/>
  <c r="B13" i="70"/>
  <c r="F17" i="70"/>
  <c r="B12" i="70"/>
  <c r="B16" i="70"/>
  <c r="F14" i="70"/>
  <c r="F12" i="70"/>
  <c r="J15" i="70"/>
  <c r="J12" i="70"/>
  <c r="J16" i="70"/>
  <c r="F15" i="70"/>
  <c r="J13" i="70"/>
  <c r="J14" i="70"/>
  <c r="B15" i="70"/>
  <c r="B17" i="70"/>
  <c r="D18" i="70"/>
  <c r="C2" i="70"/>
  <c r="D2" i="70"/>
  <c r="D3" i="70"/>
  <c r="J18" i="70"/>
  <c r="A19" i="70"/>
  <c r="B18" i="70"/>
  <c r="F18" i="70"/>
  <c r="G2" i="70"/>
  <c r="H2" i="70"/>
  <c r="H3" i="70"/>
  <c r="K2" i="70"/>
  <c r="K3" i="70"/>
  <c r="L2" i="70"/>
  <c r="L3" i="70"/>
  <c r="D4" i="70"/>
  <c r="D5" i="70"/>
  <c r="F3" i="70"/>
  <c r="G3" i="70"/>
  <c r="C3" i="70"/>
  <c r="B3" i="70"/>
  <c r="J19" i="70"/>
  <c r="A20" i="70"/>
  <c r="B19" i="70"/>
  <c r="F19" i="70"/>
  <c r="D19" i="70"/>
  <c r="H10" i="70"/>
  <c r="H4" i="70"/>
  <c r="H5" i="70"/>
  <c r="D12" i="70"/>
  <c r="L10" i="70"/>
  <c r="L19" i="70"/>
  <c r="D9" i="70"/>
  <c r="D13" i="70"/>
  <c r="D11" i="70"/>
  <c r="D14" i="70"/>
  <c r="D15" i="70"/>
  <c r="D16" i="70"/>
  <c r="D17" i="70"/>
  <c r="J3" i="70"/>
  <c r="L4" i="70"/>
  <c r="L5" i="70"/>
  <c r="C4" i="70"/>
  <c r="C5" i="70"/>
  <c r="H13" i="70"/>
  <c r="H11" i="70"/>
  <c r="H12" i="70"/>
  <c r="H14" i="70"/>
  <c r="H15" i="70"/>
  <c r="H16" i="70"/>
  <c r="H17" i="70"/>
  <c r="H18" i="70"/>
  <c r="J20" i="70"/>
  <c r="B20" i="70"/>
  <c r="A21" i="70"/>
  <c r="F20" i="70"/>
  <c r="D20" i="70"/>
  <c r="H20" i="70"/>
  <c r="L20" i="70"/>
  <c r="H19" i="70"/>
  <c r="L9" i="70"/>
  <c r="H9" i="70"/>
  <c r="L13" i="70"/>
  <c r="L11" i="70"/>
  <c r="L12" i="70"/>
  <c r="L14" i="70"/>
  <c r="L15" i="70"/>
  <c r="L16" i="70"/>
  <c r="L17" i="70"/>
  <c r="L18" i="70"/>
  <c r="C20" i="70"/>
  <c r="G10" i="70"/>
  <c r="G21" i="70"/>
  <c r="C11" i="70"/>
  <c r="C18" i="70"/>
  <c r="C13" i="70"/>
  <c r="C14" i="70"/>
  <c r="C19" i="70"/>
  <c r="C15" i="70"/>
  <c r="K10" i="70"/>
  <c r="C16" i="70"/>
  <c r="C9" i="70"/>
  <c r="C17" i="70"/>
  <c r="C12" i="70"/>
  <c r="A22" i="70"/>
  <c r="J21" i="70"/>
  <c r="B21" i="70"/>
  <c r="F21" i="70"/>
  <c r="K21" i="70"/>
  <c r="H21" i="70"/>
  <c r="D21" i="70"/>
  <c r="C21" i="70"/>
  <c r="L21" i="70"/>
  <c r="G9" i="70"/>
  <c r="K9" i="70"/>
  <c r="G11" i="70"/>
  <c r="G18" i="70"/>
  <c r="G12" i="70"/>
  <c r="G20" i="70"/>
  <c r="G13" i="70"/>
  <c r="G14" i="70"/>
  <c r="G15" i="70"/>
  <c r="G16" i="70"/>
  <c r="G4" i="70"/>
  <c r="G5" i="70"/>
  <c r="G17" i="70"/>
  <c r="G19" i="70"/>
  <c r="K19" i="70"/>
  <c r="K17" i="70"/>
  <c r="K18" i="70"/>
  <c r="K4" i="70"/>
  <c r="K5" i="70"/>
  <c r="K20" i="70"/>
  <c r="K13" i="70"/>
  <c r="K15" i="70"/>
  <c r="K12" i="70"/>
  <c r="K14" i="70"/>
  <c r="K16" i="70"/>
  <c r="K11" i="70"/>
  <c r="A23" i="70"/>
  <c r="F22" i="70"/>
  <c r="J22" i="70"/>
  <c r="B22" i="70"/>
  <c r="K22" i="70"/>
  <c r="D22" i="70"/>
  <c r="C22" i="70"/>
  <c r="G22" i="70"/>
  <c r="H22" i="70"/>
  <c r="L22" i="70"/>
  <c r="A24" i="70"/>
  <c r="F23" i="70"/>
  <c r="J23" i="70"/>
  <c r="B23" i="70"/>
  <c r="K23" i="70"/>
  <c r="C23" i="70"/>
  <c r="L23" i="70"/>
  <c r="H23" i="70"/>
  <c r="D23" i="70"/>
  <c r="G23" i="70"/>
  <c r="F24" i="70"/>
  <c r="A25" i="70"/>
  <c r="J24" i="70"/>
  <c r="B24" i="70"/>
  <c r="L24" i="70"/>
  <c r="C24" i="70"/>
  <c r="K24" i="70"/>
  <c r="D24" i="70"/>
  <c r="G24" i="70"/>
  <c r="H24" i="70"/>
  <c r="F25" i="70"/>
  <c r="A26" i="70"/>
  <c r="J25" i="70"/>
  <c r="B25" i="70"/>
  <c r="D25" i="70"/>
  <c r="H25" i="70"/>
  <c r="C25" i="70"/>
  <c r="L25" i="70"/>
  <c r="K25" i="70"/>
  <c r="G25" i="70"/>
  <c r="J26" i="70"/>
  <c r="A27" i="70"/>
  <c r="B26" i="70"/>
  <c r="F26" i="70"/>
  <c r="D26" i="70"/>
  <c r="H26" i="70"/>
  <c r="L26" i="70"/>
  <c r="C26" i="70"/>
  <c r="G26" i="70"/>
  <c r="K26" i="70"/>
  <c r="J27" i="70"/>
  <c r="B27" i="70"/>
  <c r="F27" i="70"/>
  <c r="A28" i="70"/>
  <c r="H27" i="70"/>
  <c r="D27" i="70"/>
  <c r="C27" i="70"/>
  <c r="G27" i="70"/>
  <c r="K27" i="70"/>
  <c r="L27" i="70"/>
  <c r="J28" i="70"/>
  <c r="F28" i="70"/>
  <c r="B28" i="70"/>
  <c r="A29" i="70"/>
  <c r="H28" i="70"/>
  <c r="L28" i="70"/>
  <c r="C28" i="70"/>
  <c r="D28" i="70"/>
  <c r="G28" i="70"/>
  <c r="K28" i="70"/>
  <c r="A30" i="70"/>
  <c r="J29" i="70"/>
  <c r="B29" i="70"/>
  <c r="F29" i="70"/>
  <c r="L29" i="70"/>
  <c r="D29" i="70"/>
  <c r="K29" i="70"/>
  <c r="H29" i="70"/>
  <c r="C29" i="70"/>
  <c r="G29" i="70"/>
  <c r="A31" i="70"/>
  <c r="F30" i="70"/>
  <c r="J30" i="70"/>
  <c r="B30" i="70"/>
  <c r="D30" i="70"/>
  <c r="G30" i="70"/>
  <c r="L30" i="70"/>
  <c r="C30" i="70"/>
  <c r="H30" i="70"/>
  <c r="K30" i="70"/>
  <c r="A32" i="70"/>
  <c r="F31" i="70"/>
  <c r="B31" i="70"/>
  <c r="J31" i="70"/>
  <c r="G31" i="70"/>
  <c r="L31" i="70"/>
  <c r="C31" i="70"/>
  <c r="D31" i="70"/>
  <c r="K31" i="70"/>
  <c r="H31" i="70"/>
  <c r="F32" i="70"/>
  <c r="A33" i="70"/>
  <c r="J32" i="70"/>
  <c r="B32" i="70"/>
  <c r="K32" i="70"/>
  <c r="C32" i="70"/>
  <c r="L32" i="70"/>
  <c r="G32" i="70"/>
  <c r="H32" i="70"/>
  <c r="D32" i="70"/>
  <c r="F33" i="70"/>
  <c r="A34" i="70"/>
  <c r="J33" i="70"/>
  <c r="B33" i="70"/>
  <c r="G33" i="70"/>
  <c r="D33" i="70"/>
  <c r="K33" i="70"/>
  <c r="L33" i="70"/>
  <c r="C33" i="70"/>
  <c r="H33" i="70"/>
  <c r="J34" i="70"/>
  <c r="F34" i="70"/>
  <c r="A35" i="70"/>
  <c r="B34" i="70"/>
  <c r="G34" i="70"/>
  <c r="K34" i="70"/>
  <c r="D34" i="70"/>
  <c r="H34" i="70"/>
  <c r="L34" i="70"/>
  <c r="C34" i="70"/>
  <c r="J35" i="70"/>
  <c r="B35" i="70"/>
  <c r="F35" i="70"/>
  <c r="A36" i="70"/>
  <c r="C35" i="70"/>
  <c r="H35" i="70"/>
  <c r="L35" i="70"/>
  <c r="G35" i="70"/>
  <c r="D35" i="70"/>
  <c r="K35" i="70"/>
  <c r="J36" i="70"/>
  <c r="A37" i="70"/>
  <c r="F36" i="70"/>
  <c r="B36" i="70"/>
  <c r="C36" i="70"/>
  <c r="L36" i="70"/>
  <c r="G36" i="70"/>
  <c r="K36" i="70"/>
  <c r="H36" i="70"/>
  <c r="D36" i="70"/>
  <c r="A38" i="70"/>
  <c r="J37" i="70"/>
  <c r="B37" i="70"/>
  <c r="F37" i="70"/>
  <c r="L37" i="70"/>
  <c r="C37" i="70"/>
  <c r="G37" i="70"/>
  <c r="H37" i="70"/>
  <c r="D37" i="70"/>
  <c r="K37" i="70"/>
  <c r="A39" i="70"/>
  <c r="F38" i="70"/>
  <c r="B38" i="70"/>
  <c r="J38" i="70"/>
  <c r="G38" i="70"/>
  <c r="H38" i="70"/>
  <c r="L38" i="70"/>
  <c r="C38" i="70"/>
  <c r="D38" i="70"/>
  <c r="K38" i="70"/>
  <c r="A40" i="70"/>
  <c r="F39" i="70"/>
  <c r="B39" i="70"/>
  <c r="J39" i="70"/>
  <c r="L39" i="70"/>
  <c r="H39" i="70"/>
  <c r="K39" i="70"/>
  <c r="C39" i="70"/>
  <c r="G39" i="70"/>
  <c r="D39" i="70"/>
  <c r="F40" i="70"/>
  <c r="A41" i="70"/>
  <c r="B40" i="70"/>
  <c r="J40" i="70"/>
  <c r="C40" i="70"/>
  <c r="H40" i="70"/>
  <c r="L40" i="70"/>
  <c r="K40" i="70"/>
  <c r="D40" i="70"/>
  <c r="G40" i="70"/>
  <c r="F41" i="70"/>
  <c r="A42" i="70"/>
  <c r="J41" i="70"/>
  <c r="B41" i="70"/>
  <c r="D41" i="70"/>
  <c r="H41" i="70"/>
  <c r="K41" i="70"/>
  <c r="C41" i="70"/>
  <c r="L41" i="70"/>
  <c r="G41" i="70"/>
  <c r="J42" i="70"/>
  <c r="A43" i="70"/>
  <c r="F42" i="70"/>
  <c r="B42" i="70"/>
  <c r="G42" i="70"/>
  <c r="L42" i="70"/>
  <c r="K42" i="70"/>
  <c r="C42" i="70"/>
  <c r="D42" i="70"/>
  <c r="H42" i="70"/>
  <c r="J43" i="70"/>
  <c r="B43" i="70"/>
  <c r="A44" i="70"/>
  <c r="F43" i="70"/>
  <c r="K43" i="70"/>
  <c r="D43" i="70"/>
  <c r="G43" i="70"/>
  <c r="H43" i="70"/>
  <c r="L43" i="70"/>
  <c r="C43" i="70"/>
  <c r="J44" i="70"/>
  <c r="A45" i="70"/>
  <c r="B44" i="70"/>
  <c r="F44" i="70"/>
  <c r="K44" i="70"/>
  <c r="D44" i="70"/>
  <c r="L44" i="70"/>
  <c r="G44" i="70"/>
  <c r="C44" i="70"/>
  <c r="H44" i="70"/>
  <c r="A46" i="70"/>
  <c r="J45" i="70"/>
  <c r="B45" i="70"/>
  <c r="F45" i="70"/>
  <c r="H45" i="70"/>
  <c r="L45" i="70"/>
  <c r="C45" i="70"/>
  <c r="D45" i="70"/>
  <c r="K45" i="70"/>
  <c r="G45" i="70"/>
  <c r="A47" i="70"/>
  <c r="F46" i="70"/>
  <c r="J46" i="70"/>
  <c r="B46" i="70"/>
  <c r="H46" i="70"/>
  <c r="L46" i="70"/>
  <c r="G46" i="70"/>
  <c r="K46" i="70"/>
  <c r="C46" i="70"/>
  <c r="D46" i="70"/>
  <c r="A48" i="70"/>
  <c r="F47" i="70"/>
  <c r="J47" i="70"/>
  <c r="B47" i="70"/>
  <c r="L47" i="70"/>
  <c r="K47" i="70"/>
  <c r="G47" i="70"/>
  <c r="H47" i="70"/>
  <c r="C47" i="70"/>
  <c r="D47" i="70"/>
  <c r="F48" i="70"/>
  <c r="A49" i="70"/>
  <c r="J48" i="70"/>
  <c r="B48" i="70"/>
  <c r="K48" i="70"/>
  <c r="C48" i="70"/>
  <c r="G48" i="70"/>
  <c r="H48" i="70"/>
  <c r="L48" i="70"/>
  <c r="D48" i="70"/>
  <c r="F49" i="70"/>
  <c r="A50" i="70"/>
  <c r="J49" i="70"/>
  <c r="B49" i="70"/>
  <c r="D49" i="70"/>
  <c r="G49" i="70"/>
  <c r="L49" i="70"/>
  <c r="C49" i="70"/>
  <c r="K49" i="70"/>
  <c r="H49" i="70"/>
  <c r="J50" i="70"/>
  <c r="B50" i="70"/>
  <c r="F50" i="70"/>
  <c r="A51" i="70"/>
  <c r="H50" i="70"/>
  <c r="G50" i="70"/>
  <c r="L50" i="70"/>
  <c r="K50" i="70"/>
  <c r="D50" i="70"/>
  <c r="C50" i="70"/>
  <c r="J51" i="70"/>
  <c r="B51" i="70"/>
  <c r="F51" i="70"/>
  <c r="A52" i="70"/>
  <c r="G51" i="70"/>
  <c r="L51" i="70"/>
  <c r="K51" i="70"/>
  <c r="H51" i="70"/>
  <c r="C51" i="70"/>
  <c r="D51" i="70"/>
  <c r="J52" i="70"/>
  <c r="B52" i="70"/>
  <c r="F52" i="70"/>
  <c r="A53" i="70"/>
  <c r="G52" i="70"/>
  <c r="D52" i="70"/>
  <c r="H52" i="70"/>
  <c r="K52" i="70"/>
  <c r="C52" i="70"/>
  <c r="L52" i="70"/>
  <c r="A54" i="70"/>
  <c r="J53" i="70"/>
  <c r="B53" i="70"/>
  <c r="F53" i="70"/>
  <c r="K53" i="70"/>
  <c r="G53" i="70"/>
  <c r="H53" i="70"/>
  <c r="L53" i="70"/>
  <c r="C53" i="70"/>
  <c r="D53" i="70"/>
  <c r="A55" i="70"/>
  <c r="F54" i="70"/>
  <c r="B54" i="70"/>
  <c r="J54" i="70"/>
  <c r="G54" i="70"/>
  <c r="D54" i="70"/>
  <c r="L54" i="70"/>
  <c r="C54" i="70"/>
  <c r="K54" i="70"/>
  <c r="H54" i="70"/>
  <c r="A56" i="70"/>
  <c r="F55" i="70"/>
  <c r="B55" i="70"/>
  <c r="J55" i="70"/>
  <c r="D55" i="70"/>
  <c r="L55" i="70"/>
  <c r="H55" i="70"/>
  <c r="K55" i="70"/>
  <c r="G55" i="70"/>
  <c r="C55" i="70"/>
  <c r="F56" i="70"/>
  <c r="A57" i="70"/>
  <c r="B56" i="70"/>
  <c r="J56" i="70"/>
  <c r="H56" i="70"/>
  <c r="D56" i="70"/>
  <c r="K56" i="70"/>
  <c r="L56" i="70"/>
  <c r="G56" i="70"/>
  <c r="C56" i="70"/>
  <c r="F57" i="70"/>
  <c r="A58" i="70"/>
  <c r="J57" i="70"/>
  <c r="B57" i="70"/>
  <c r="C57" i="70"/>
  <c r="H57" i="70"/>
  <c r="D57" i="70"/>
  <c r="K57" i="70"/>
  <c r="L57" i="70"/>
  <c r="G57" i="70"/>
  <c r="J58" i="70"/>
  <c r="B58" i="70"/>
  <c r="F58" i="70"/>
  <c r="A59" i="70"/>
  <c r="G58" i="70"/>
  <c r="L58" i="70"/>
  <c r="H58" i="70"/>
  <c r="K58" i="70"/>
  <c r="D58" i="70"/>
  <c r="C58" i="70"/>
  <c r="J59" i="70"/>
  <c r="B59" i="70"/>
  <c r="A60" i="70"/>
  <c r="F59" i="70"/>
  <c r="D59" i="70"/>
  <c r="H59" i="70"/>
  <c r="L59" i="70"/>
  <c r="C59" i="70"/>
  <c r="G59" i="70"/>
  <c r="K59" i="70"/>
  <c r="J60" i="70"/>
  <c r="B60" i="70"/>
  <c r="A61" i="70"/>
  <c r="F60" i="70"/>
  <c r="L60" i="70"/>
  <c r="D60" i="70"/>
  <c r="H60" i="70"/>
  <c r="G60" i="70"/>
  <c r="K60" i="70"/>
  <c r="C60" i="70"/>
  <c r="A62" i="70"/>
  <c r="J61" i="70"/>
  <c r="B61" i="70"/>
  <c r="F61" i="70"/>
  <c r="G61" i="70"/>
  <c r="L61" i="70"/>
  <c r="C61" i="70"/>
  <c r="D61" i="70"/>
  <c r="K61" i="70"/>
  <c r="H61" i="70"/>
  <c r="A63" i="70"/>
  <c r="F62" i="70"/>
  <c r="B62" i="70"/>
  <c r="J62" i="70"/>
  <c r="L62" i="70"/>
  <c r="H62" i="70"/>
  <c r="G62" i="70"/>
  <c r="K62" i="70"/>
  <c r="D62" i="70"/>
  <c r="C62" i="70"/>
  <c r="A64" i="70"/>
  <c r="F63" i="70"/>
  <c r="J63" i="70"/>
  <c r="B63" i="70"/>
  <c r="L63" i="70"/>
  <c r="H63" i="70"/>
  <c r="C63" i="70"/>
  <c r="D63" i="70"/>
  <c r="K63" i="70"/>
  <c r="G63" i="70"/>
  <c r="F64" i="70"/>
  <c r="A65" i="70"/>
  <c r="J64" i="70"/>
  <c r="B64" i="70"/>
  <c r="H64" i="70"/>
  <c r="L64" i="70"/>
  <c r="K64" i="70"/>
  <c r="G64" i="70"/>
  <c r="C64" i="70"/>
  <c r="D64" i="70"/>
  <c r="F65" i="70"/>
  <c r="A66" i="70"/>
  <c r="J65" i="70"/>
  <c r="B65" i="70"/>
  <c r="D65" i="70"/>
  <c r="K65" i="70"/>
  <c r="L65" i="70"/>
  <c r="G65" i="70"/>
  <c r="C65" i="70"/>
  <c r="H65" i="70"/>
  <c r="J66" i="70"/>
  <c r="B66" i="70"/>
  <c r="A67" i="70"/>
  <c r="F66" i="70"/>
  <c r="K66" i="70"/>
  <c r="D66" i="70"/>
  <c r="G66" i="70"/>
  <c r="H66" i="70"/>
  <c r="C66" i="70"/>
  <c r="L66" i="70"/>
  <c r="J67" i="70"/>
  <c r="B67" i="70"/>
  <c r="A68" i="70"/>
  <c r="F67" i="70"/>
  <c r="C67" i="70"/>
  <c r="G67" i="70"/>
  <c r="L67" i="70"/>
  <c r="H67" i="70"/>
  <c r="K67" i="70"/>
  <c r="D67" i="70"/>
  <c r="J68" i="70"/>
  <c r="B68" i="70"/>
  <c r="F68" i="70"/>
  <c r="A69" i="70"/>
  <c r="G68" i="70"/>
  <c r="H68" i="70"/>
  <c r="C68" i="70"/>
  <c r="L68" i="70"/>
  <c r="K68" i="70"/>
  <c r="D68" i="70"/>
  <c r="A70" i="70"/>
  <c r="J69" i="70"/>
  <c r="B69" i="70"/>
  <c r="F69" i="70"/>
  <c r="D69" i="70"/>
  <c r="H69" i="70"/>
  <c r="K69" i="70"/>
  <c r="C69" i="70"/>
  <c r="L69" i="70"/>
  <c r="G69" i="70"/>
  <c r="A71" i="70"/>
  <c r="F70" i="70"/>
  <c r="J70" i="70"/>
  <c r="B70" i="70"/>
  <c r="D70" i="70"/>
  <c r="G70" i="70"/>
  <c r="K70" i="70"/>
  <c r="C70" i="70"/>
  <c r="L70" i="70"/>
  <c r="H70" i="70"/>
  <c r="A72" i="70"/>
  <c r="F71" i="70"/>
  <c r="J71" i="70"/>
  <c r="B71" i="70"/>
  <c r="G71" i="70"/>
  <c r="L71" i="70"/>
  <c r="H71" i="70"/>
  <c r="K71" i="70"/>
  <c r="C71" i="70"/>
  <c r="D71" i="70"/>
  <c r="F72" i="70"/>
  <c r="A73" i="70"/>
  <c r="B72" i="70"/>
  <c r="J72" i="70"/>
  <c r="H72" i="70"/>
  <c r="G72" i="70"/>
  <c r="L72" i="70"/>
  <c r="C72" i="70"/>
  <c r="D72" i="70"/>
  <c r="K72" i="70"/>
  <c r="F73" i="70"/>
  <c r="A74" i="70"/>
  <c r="J73" i="70"/>
  <c r="B73" i="70"/>
  <c r="D73" i="70"/>
  <c r="H73" i="70"/>
  <c r="C73" i="70"/>
  <c r="G73" i="70"/>
  <c r="K73" i="70"/>
  <c r="L73" i="70"/>
  <c r="J74" i="70"/>
  <c r="B74" i="70"/>
  <c r="F74" i="70"/>
  <c r="A75" i="70"/>
  <c r="K74" i="70"/>
  <c r="H74" i="70"/>
  <c r="G74" i="70"/>
  <c r="D74" i="70"/>
  <c r="L74" i="70"/>
  <c r="C74" i="70"/>
  <c r="J75" i="70"/>
  <c r="B75" i="70"/>
  <c r="F75" i="70"/>
  <c r="A76" i="70"/>
  <c r="G75" i="70"/>
  <c r="D75" i="70"/>
  <c r="L75" i="70"/>
  <c r="H75" i="70"/>
  <c r="K75" i="70"/>
  <c r="C75" i="70"/>
  <c r="J76" i="70"/>
  <c r="B76" i="70"/>
  <c r="F76" i="70"/>
  <c r="A77" i="70"/>
  <c r="G76" i="70"/>
  <c r="H76" i="70"/>
  <c r="L76" i="70"/>
  <c r="D76" i="70"/>
  <c r="K76" i="70"/>
  <c r="C76" i="70"/>
  <c r="A78" i="70"/>
  <c r="J77" i="70"/>
  <c r="B77" i="70"/>
  <c r="F77" i="70"/>
  <c r="G77" i="70"/>
  <c r="D77" i="70"/>
  <c r="L77" i="70"/>
  <c r="H77" i="70"/>
  <c r="K77" i="70"/>
  <c r="C77" i="70"/>
  <c r="A79" i="70"/>
  <c r="F78" i="70"/>
  <c r="B78" i="70"/>
  <c r="J78" i="70"/>
  <c r="H78" i="70"/>
  <c r="L78" i="70"/>
  <c r="G78" i="70"/>
  <c r="D78" i="70"/>
  <c r="C78" i="70"/>
  <c r="K78" i="70"/>
  <c r="A80" i="70"/>
  <c r="F79" i="70"/>
  <c r="B79" i="70"/>
  <c r="J79" i="70"/>
  <c r="L79" i="70"/>
  <c r="K79" i="70"/>
  <c r="G79" i="70"/>
  <c r="H79" i="70"/>
  <c r="C79" i="70"/>
  <c r="D79" i="70"/>
  <c r="F80" i="70"/>
  <c r="A81" i="70"/>
  <c r="B80" i="70"/>
  <c r="J80" i="70"/>
  <c r="L80" i="70"/>
  <c r="H80" i="70"/>
  <c r="D80" i="70"/>
  <c r="G80" i="70"/>
  <c r="C80" i="70"/>
  <c r="K80" i="70"/>
  <c r="F81" i="70"/>
  <c r="A82" i="70"/>
  <c r="J81" i="70"/>
  <c r="B81" i="70"/>
  <c r="L81" i="70"/>
  <c r="G81" i="70"/>
  <c r="D81" i="70"/>
  <c r="H81" i="70"/>
  <c r="C81" i="70"/>
  <c r="K81" i="70"/>
  <c r="J82" i="70"/>
  <c r="B82" i="70"/>
  <c r="A83" i="70"/>
  <c r="F82" i="70"/>
  <c r="D82" i="70"/>
  <c r="L82" i="70"/>
  <c r="H82" i="70"/>
  <c r="K82" i="70"/>
  <c r="C82" i="70"/>
  <c r="G82" i="70"/>
  <c r="J83" i="70"/>
  <c r="B83" i="70"/>
  <c r="A84" i="70"/>
  <c r="F83" i="70"/>
  <c r="D83" i="70"/>
  <c r="G83" i="70"/>
  <c r="L83" i="70"/>
  <c r="K83" i="70"/>
  <c r="H83" i="70"/>
  <c r="C83" i="70"/>
  <c r="J84" i="70"/>
  <c r="B84" i="70"/>
  <c r="A85" i="70"/>
  <c r="F84" i="70"/>
  <c r="H84" i="70"/>
  <c r="L84" i="70"/>
  <c r="C84" i="70"/>
  <c r="K84" i="70"/>
  <c r="G84" i="70"/>
  <c r="D84" i="70"/>
  <c r="A86" i="70"/>
  <c r="J85" i="70"/>
  <c r="B85" i="70"/>
  <c r="F85" i="70"/>
  <c r="G85" i="70"/>
  <c r="H85" i="70"/>
  <c r="D85" i="70"/>
  <c r="L85" i="70"/>
  <c r="C85" i="70"/>
  <c r="K85" i="70"/>
  <c r="A87" i="70"/>
  <c r="F86" i="70"/>
  <c r="J86" i="70"/>
  <c r="B86" i="70"/>
  <c r="D86" i="70"/>
  <c r="L86" i="70"/>
  <c r="H86" i="70"/>
  <c r="G86" i="70"/>
  <c r="C86" i="70"/>
  <c r="K86" i="70"/>
  <c r="A88" i="70"/>
  <c r="F87" i="70"/>
  <c r="J87" i="70"/>
  <c r="B87" i="70"/>
  <c r="K87" i="70"/>
  <c r="G87" i="70"/>
  <c r="L87" i="70"/>
  <c r="H87" i="70"/>
  <c r="C87" i="70"/>
  <c r="D87" i="70"/>
  <c r="F88" i="70"/>
  <c r="A89" i="70"/>
  <c r="J88" i="70"/>
  <c r="B88" i="70"/>
  <c r="L88" i="70"/>
  <c r="H88" i="70"/>
  <c r="K88" i="70"/>
  <c r="G88" i="70"/>
  <c r="D88" i="70"/>
  <c r="C88" i="70"/>
  <c r="F89" i="70"/>
  <c r="A90" i="70"/>
  <c r="J89" i="70"/>
  <c r="B89" i="70"/>
  <c r="L89" i="70"/>
  <c r="H89" i="70"/>
  <c r="D89" i="70"/>
  <c r="K89" i="70"/>
  <c r="C89" i="70"/>
  <c r="G89" i="70"/>
  <c r="J90" i="70"/>
  <c r="B90" i="70"/>
  <c r="A91" i="70"/>
  <c r="F90" i="70"/>
  <c r="K90" i="70"/>
  <c r="G90" i="70"/>
  <c r="H90" i="70"/>
  <c r="L90" i="70"/>
  <c r="D90" i="70"/>
  <c r="C90" i="70"/>
  <c r="J91" i="70"/>
  <c r="B91" i="70"/>
  <c r="F91" i="70"/>
  <c r="A92" i="70"/>
  <c r="L91" i="70"/>
  <c r="H91" i="70"/>
  <c r="K91" i="70"/>
  <c r="G91" i="70"/>
  <c r="D91" i="70"/>
  <c r="C91" i="70"/>
  <c r="J92" i="70"/>
  <c r="B92" i="70"/>
  <c r="F92" i="70"/>
  <c r="A93" i="70"/>
  <c r="K92" i="70"/>
  <c r="H92" i="70"/>
  <c r="L92" i="70"/>
  <c r="D92" i="70"/>
  <c r="G92" i="70"/>
  <c r="C92" i="70"/>
  <c r="A94" i="70"/>
  <c r="J93" i="70"/>
  <c r="B93" i="70"/>
  <c r="F93" i="70"/>
  <c r="G93" i="70"/>
  <c r="L93" i="70"/>
  <c r="D93" i="70"/>
  <c r="K93" i="70"/>
  <c r="C93" i="70"/>
  <c r="H93" i="70"/>
  <c r="A95" i="70"/>
  <c r="F94" i="70"/>
  <c r="J94" i="70"/>
  <c r="B94" i="70"/>
  <c r="K94" i="70"/>
  <c r="G94" i="70"/>
  <c r="H94" i="70"/>
  <c r="D94" i="70"/>
  <c r="C94" i="70"/>
  <c r="L94" i="70"/>
  <c r="A96" i="70"/>
  <c r="F95" i="70"/>
  <c r="B95" i="70"/>
  <c r="J95" i="70"/>
  <c r="C95" i="70"/>
  <c r="H95" i="70"/>
  <c r="L95" i="70"/>
  <c r="K95" i="70"/>
  <c r="G95" i="70"/>
  <c r="D95" i="70"/>
  <c r="F96" i="70"/>
  <c r="A97" i="70"/>
  <c r="B96" i="70"/>
  <c r="J96" i="70"/>
  <c r="H96" i="70"/>
  <c r="K96" i="70"/>
  <c r="G96" i="70"/>
  <c r="D96" i="70"/>
  <c r="L96" i="70"/>
  <c r="C96" i="70"/>
  <c r="F97" i="70"/>
  <c r="A98" i="70"/>
  <c r="J97" i="70"/>
  <c r="B97" i="70"/>
  <c r="C97" i="70"/>
  <c r="G97" i="70"/>
  <c r="L97" i="70"/>
  <c r="D97" i="70"/>
  <c r="H97" i="70"/>
  <c r="K97" i="70"/>
  <c r="J98" i="70"/>
  <c r="B98" i="70"/>
  <c r="F98" i="70"/>
  <c r="A99" i="70"/>
  <c r="K98" i="70"/>
  <c r="H98" i="70"/>
  <c r="L98" i="70"/>
  <c r="D98" i="70"/>
  <c r="C98" i="70"/>
  <c r="G98" i="70"/>
  <c r="J99" i="70"/>
  <c r="B99" i="70"/>
  <c r="F99" i="70"/>
  <c r="A100" i="70"/>
  <c r="L99" i="70"/>
  <c r="G99" i="70"/>
  <c r="K99" i="70"/>
  <c r="H99" i="70"/>
  <c r="D99" i="70"/>
  <c r="C99" i="70"/>
  <c r="J100" i="70"/>
  <c r="B100" i="70"/>
  <c r="A101" i="70"/>
  <c r="F100" i="70"/>
  <c r="H100" i="70"/>
  <c r="L100" i="70"/>
  <c r="D100" i="70"/>
  <c r="C100" i="70"/>
  <c r="K100" i="70"/>
  <c r="G100" i="70"/>
  <c r="A102" i="70"/>
  <c r="J101" i="70"/>
  <c r="B101" i="70"/>
  <c r="F101" i="70"/>
  <c r="L101" i="70"/>
  <c r="H101" i="70"/>
  <c r="G101" i="70"/>
  <c r="D101" i="70"/>
  <c r="K101" i="70"/>
  <c r="C101" i="70"/>
  <c r="A103" i="70"/>
  <c r="F102" i="70"/>
  <c r="B102" i="70"/>
  <c r="J102" i="70"/>
  <c r="D102" i="70"/>
  <c r="G102" i="70"/>
  <c r="L102" i="70"/>
  <c r="H102" i="70"/>
  <c r="C102" i="70"/>
  <c r="K102" i="70"/>
  <c r="A104" i="70"/>
  <c r="F103" i="70"/>
  <c r="B103" i="70"/>
  <c r="J103" i="70"/>
  <c r="G103" i="70"/>
  <c r="D103" i="70"/>
  <c r="L103" i="70"/>
  <c r="H103" i="70"/>
  <c r="K103" i="70"/>
  <c r="C103" i="70"/>
  <c r="F104" i="70"/>
  <c r="A105" i="70"/>
  <c r="J104" i="70"/>
  <c r="B104" i="70"/>
  <c r="H104" i="70"/>
  <c r="D104" i="70"/>
  <c r="K104" i="70"/>
  <c r="G104" i="70"/>
  <c r="L104" i="70"/>
  <c r="C104" i="70"/>
  <c r="F105" i="70"/>
  <c r="A106" i="70"/>
  <c r="J105" i="70"/>
  <c r="B105" i="70"/>
  <c r="H105" i="70"/>
  <c r="G105" i="70"/>
  <c r="C105" i="70"/>
  <c r="L105" i="70"/>
  <c r="D105" i="70"/>
  <c r="K105" i="70"/>
  <c r="J106" i="70"/>
  <c r="B106" i="70"/>
  <c r="A107" i="70"/>
  <c r="F106" i="70"/>
  <c r="L106" i="70"/>
  <c r="D106" i="70"/>
  <c r="C106" i="70"/>
  <c r="G106" i="70"/>
  <c r="K106" i="70"/>
  <c r="H106" i="70"/>
  <c r="J107" i="70"/>
  <c r="B107" i="70"/>
  <c r="A108" i="70"/>
  <c r="F107" i="70"/>
  <c r="G107" i="70"/>
  <c r="D107" i="70"/>
  <c r="C107" i="70"/>
  <c r="K107" i="70"/>
  <c r="L107" i="70"/>
  <c r="H107" i="70"/>
  <c r="J108" i="70"/>
  <c r="B108" i="70"/>
  <c r="A109" i="70"/>
  <c r="F108" i="70"/>
  <c r="L108" i="70"/>
  <c r="D108" i="70"/>
  <c r="K108" i="70"/>
  <c r="C108" i="70"/>
  <c r="H108" i="70"/>
  <c r="G108" i="70"/>
  <c r="A110" i="70"/>
  <c r="J109" i="70"/>
  <c r="B109" i="70"/>
  <c r="F109" i="70"/>
  <c r="K109" i="70"/>
  <c r="D109" i="70"/>
  <c r="H109" i="70"/>
  <c r="C109" i="70"/>
  <c r="G109" i="70"/>
  <c r="L109" i="70"/>
  <c r="A111" i="70"/>
  <c r="F110" i="70"/>
  <c r="J110" i="70"/>
  <c r="B110" i="70"/>
  <c r="K110" i="70"/>
  <c r="C110" i="70"/>
  <c r="H110" i="70"/>
  <c r="D110" i="70"/>
  <c r="G110" i="70"/>
  <c r="L110" i="70"/>
  <c r="F111" i="70"/>
  <c r="J111" i="70"/>
  <c r="B111" i="70"/>
  <c r="L111" i="70"/>
  <c r="G111" i="70"/>
  <c r="K111" i="70"/>
  <c r="D111" i="70"/>
  <c r="H111" i="70"/>
  <c r="C111" i="70"/>
  <c r="H8" i="70"/>
  <c r="E30" i="69"/>
  <c r="L8" i="70"/>
  <c r="F30" i="69"/>
  <c r="K8" i="70"/>
  <c r="F29" i="69"/>
  <c r="G8" i="70"/>
  <c r="E29" i="69"/>
  <c r="C8" i="70"/>
  <c r="D29" i="69"/>
  <c r="D8" i="70"/>
  <c r="D30" i="69"/>
  <c r="H6" i="70"/>
  <c r="G6" i="70"/>
  <c r="L6" i="70"/>
  <c r="K6" i="70"/>
  <c r="D6" i="70"/>
  <c r="C6" i="70"/>
</calcChain>
</file>

<file path=xl/sharedStrings.xml><?xml version="1.0" encoding="utf-8"?>
<sst xmlns="http://schemas.openxmlformats.org/spreadsheetml/2006/main" count="580" uniqueCount="370">
  <si>
    <t>Français</t>
  </si>
  <si>
    <t>SPECIAL INSTRUCTIONS</t>
  </si>
  <si>
    <t>Index</t>
  </si>
  <si>
    <t>ADS_0.05ml</t>
  </si>
  <si>
    <t>Sdilution_2ml</t>
  </si>
  <si>
    <t>Oral</t>
  </si>
  <si>
    <t>ADS_0.5ml</t>
  </si>
  <si>
    <t>Sdilution_5ml</t>
  </si>
  <si>
    <t>Worksheet</t>
  </si>
  <si>
    <t>Translation</t>
  </si>
  <si>
    <t>English</t>
  </si>
  <si>
    <t>Portuguese</t>
  </si>
  <si>
    <t>Spanish</t>
  </si>
  <si>
    <t>Other</t>
  </si>
  <si>
    <t>Cover</t>
  </si>
  <si>
    <t>Country:</t>
  </si>
  <si>
    <t>Pays:</t>
  </si>
  <si>
    <t>País:</t>
  </si>
  <si>
    <t>Страна:</t>
  </si>
  <si>
    <t>Language:</t>
  </si>
  <si>
    <t>Langue:</t>
  </si>
  <si>
    <t>Língua:</t>
  </si>
  <si>
    <t>Year:</t>
  </si>
  <si>
    <t>Année:</t>
  </si>
  <si>
    <t>Ano:</t>
  </si>
  <si>
    <t>Level:</t>
  </si>
  <si>
    <t>Niveau:</t>
  </si>
  <si>
    <t>Nível:</t>
  </si>
  <si>
    <t>Município</t>
  </si>
  <si>
    <t>Name:</t>
  </si>
  <si>
    <t>Nom:</t>
  </si>
  <si>
    <t>Nome:</t>
  </si>
  <si>
    <t>Click to go to page Index</t>
  </si>
  <si>
    <t>Cliquer pour aller à la page Index</t>
  </si>
  <si>
    <t>Clica para ir a página Ínicio</t>
  </si>
  <si>
    <t>SUMMARY</t>
  </si>
  <si>
    <t>SOMMAIRE</t>
  </si>
  <si>
    <t>SUMÁRIO</t>
  </si>
  <si>
    <t>Sheets</t>
  </si>
  <si>
    <t>Feuilles</t>
  </si>
  <si>
    <t>Folhas</t>
  </si>
  <si>
    <t>Content of the sheet</t>
  </si>
  <si>
    <t>Contenu feuilles</t>
  </si>
  <si>
    <t>Conteúdo Folhas</t>
  </si>
  <si>
    <t>List of units &amp; customization of parameters</t>
  </si>
  <si>
    <t>Liste des FS &amp; paramètres de configuration</t>
  </si>
  <si>
    <t>Lista das US &amp; parâmetros de configuração</t>
  </si>
  <si>
    <t>Data input sheets:</t>
  </si>
  <si>
    <t>Feuilles entrée données:</t>
  </si>
  <si>
    <t>Folhas entrada dados:</t>
  </si>
  <si>
    <t>Analysis of trends</t>
  </si>
  <si>
    <t>Analyse des tendances</t>
  </si>
  <si>
    <t>Análise das tendências</t>
  </si>
  <si>
    <t>Indicators of performence</t>
  </si>
  <si>
    <t>Indicateurrs de performance</t>
  </si>
  <si>
    <t>Indicadores de desempenho</t>
  </si>
  <si>
    <t>Revisions</t>
  </si>
  <si>
    <t>Révisions</t>
  </si>
  <si>
    <t>Revisões</t>
  </si>
  <si>
    <t>Version control</t>
  </si>
  <si>
    <t>Versão controlo</t>
  </si>
  <si>
    <t>Notes:</t>
  </si>
  <si>
    <t>Notas:</t>
  </si>
  <si>
    <t>PROGRAMME DATA</t>
  </si>
  <si>
    <t>DONNEES DU PROGRAMME</t>
  </si>
  <si>
    <t>DADOS DO PROGRAMA</t>
  </si>
  <si>
    <t>Notes for guidance:</t>
  </si>
  <si>
    <t xml:space="preserve">Notes pour orientation: </t>
  </si>
  <si>
    <t>Notas para orientação:</t>
  </si>
  <si>
    <t>Only yellow cells required data entry.</t>
  </si>
  <si>
    <t>Seules les cellules en jaune sont à remplir.</t>
  </si>
  <si>
    <t>Apenas as células em amarelo são para preencher.</t>
  </si>
  <si>
    <t>LIST OF FACILITIES</t>
  </si>
  <si>
    <t>LISTES DES FORMATIONS SANITAIRES</t>
  </si>
  <si>
    <t>LISTAS UNIDADES SANITÁRIAS</t>
  </si>
  <si>
    <t>Centros de saúde</t>
  </si>
  <si>
    <t>Health centres</t>
  </si>
  <si>
    <t>Total Population</t>
  </si>
  <si>
    <t>Population totale</t>
  </si>
  <si>
    <t>Todos População</t>
  </si>
  <si>
    <t>Pregnent women</t>
  </si>
  <si>
    <t>Femmes enceintes</t>
  </si>
  <si>
    <t>Anais nascimentos</t>
  </si>
  <si>
    <t>Surviving infants</t>
  </si>
  <si>
    <t>Vaccinations points</t>
  </si>
  <si>
    <t>Centres de vaccination</t>
  </si>
  <si>
    <t>Centros de vacinação</t>
  </si>
  <si>
    <t>Demographic indicators</t>
  </si>
  <si>
    <t>Indicateurs démographiques</t>
  </si>
  <si>
    <t>Indicadores demográficos</t>
  </si>
  <si>
    <t>% of pregnant women</t>
  </si>
  <si>
    <t>Pourcentage femmes enceintes</t>
  </si>
  <si>
    <t>Percentagem mulheres grávidas</t>
  </si>
  <si>
    <t>Percentagem nascimentos</t>
  </si>
  <si>
    <t>% of surviving infants</t>
  </si>
  <si>
    <t>Pourecentage enfants survivants</t>
  </si>
  <si>
    <t>Percentagem crianças sobreviventes</t>
  </si>
  <si>
    <t>% of adolescent girls</t>
  </si>
  <si>
    <t>Pourcentage adolescentes</t>
  </si>
  <si>
    <t>Percentagem adolescentes</t>
  </si>
  <si>
    <t>VACCINES &amp; VACCINATIONS</t>
  </si>
  <si>
    <t>VACCINS &amp; VACCINATIONS</t>
  </si>
  <si>
    <t>VACINAS &amp; VACINAÇÕES</t>
  </si>
  <si>
    <t>Vaccination objectives &amp; targets</t>
  </si>
  <si>
    <t>Objectifs &amp; cibles de vaccination</t>
  </si>
  <si>
    <t>Objectivos &amp; metas de vacinação</t>
  </si>
  <si>
    <t>Schedule</t>
  </si>
  <si>
    <t>Calendrier</t>
  </si>
  <si>
    <t>Calendário</t>
  </si>
  <si>
    <t>Target (%)</t>
  </si>
  <si>
    <t>Cible (%)</t>
  </si>
  <si>
    <t>Meta (%)</t>
  </si>
  <si>
    <t>Perdas (%)</t>
  </si>
  <si>
    <t>Vaccine wastage (%)</t>
  </si>
  <si>
    <t>Taux de pertes (%)</t>
  </si>
  <si>
    <t>Administration</t>
  </si>
  <si>
    <t>Administração</t>
  </si>
  <si>
    <t>Note:</t>
  </si>
  <si>
    <t>Use the advanced filter to these two colunms</t>
  </si>
  <si>
    <t>Utiliser le filtre avancé pour remplir les colonnes</t>
  </si>
  <si>
    <t>or enter manually the lists in alphabetic order</t>
  </si>
  <si>
    <t>ou saisir manuellement les listes par ordre alphabétique</t>
  </si>
  <si>
    <t>Volume per target, cm3</t>
  </si>
  <si>
    <t>Traduction</t>
  </si>
  <si>
    <t>Tradução</t>
  </si>
  <si>
    <t>Current language:</t>
  </si>
  <si>
    <t xml:space="preserve">Notes for translators: </t>
  </si>
  <si>
    <t xml:space="preserve">Notes pour traducteurs: </t>
  </si>
  <si>
    <t>Notas para tradutores:</t>
  </si>
  <si>
    <t>1) Non-English translations should not contain more characters than the English language text. Use appropriate abbreviations to achieve this.</t>
  </si>
  <si>
    <t>1) Les traductions dans d'autres langues que l'anglais ne devraient pas contenir plus de caractères que le texte anglais. Utiliser les abréviations appropriées pour cela.</t>
  </si>
  <si>
    <t>1) As traduções noutras línguas que a inglesa não devem conter mais caracteres que o texto em inglês. Utilizar as abreviações apropriadas para mesma.</t>
  </si>
  <si>
    <t xml:space="preserve">2) Follow English language formats.  For instance similar spaces between letters and words should be kept as in the English version.  </t>
  </si>
  <si>
    <t>2) Suivre les formats de la langue anglaise. Par exemple laisser les mêmes espaces entre les lettres et les mots que dans la version en anglais.</t>
  </si>
  <si>
    <t>2) Seguir os formatos da língua inglesa. Por exemplo deixar os mesmos espaços entre as letras e as palavras como na versão inglesa.</t>
  </si>
  <si>
    <t>3) Where indentation or hard carriage returns are used, follow the English language format.</t>
  </si>
  <si>
    <t>3) Où des retraits ou retour en ligne sont utilisés, suivre le format anglais.</t>
  </si>
  <si>
    <t>3) Onde os retraits ou retour em linha são utilizados, suiguir o formato inglês.</t>
  </si>
  <si>
    <t>4) The translations below are grouped by worksheet name. DO NOT attempt to reorder the layout.</t>
  </si>
  <si>
    <t>4) Les traductions sont groupées par feuille. NE PAS CHANGER cette disposition.</t>
  </si>
  <si>
    <t>4) As traduções são agrupadas por folha. NÃO MUDAR esta disposição.</t>
  </si>
  <si>
    <t>Adolescent Girls</t>
  </si>
  <si>
    <t>Meninas 9-13 anos</t>
  </si>
  <si>
    <t>Live births</t>
  </si>
  <si>
    <t>Naissances vivantes</t>
  </si>
  <si>
    <t>District</t>
  </si>
  <si>
    <t>Districts</t>
  </si>
  <si>
    <t>Regions</t>
  </si>
  <si>
    <t>Volume par cible, cm3</t>
  </si>
  <si>
    <t>data</t>
  </si>
  <si>
    <t>INSTRUMENTO DE GESTÃO DOS DADOS DE VACINAÇÃO MUNICIPAIS - DVDMT</t>
  </si>
  <si>
    <t>Filles 9-13ans</t>
  </si>
  <si>
    <t>National</t>
  </si>
  <si>
    <t>Nacional</t>
  </si>
  <si>
    <t>Subnational</t>
  </si>
  <si>
    <t>Health Area</t>
  </si>
  <si>
    <t>Posto de Saùde</t>
  </si>
  <si>
    <t>Districtos</t>
  </si>
  <si>
    <t>NN°</t>
  </si>
  <si>
    <t>Population growth rate</t>
  </si>
  <si>
    <t>Taux d'accroissement démographique</t>
  </si>
  <si>
    <t>Russian</t>
  </si>
  <si>
    <t>Poste de Santé</t>
  </si>
  <si>
    <t>Postes de Santé</t>
  </si>
  <si>
    <t>Nombre de séances de vaccination par semaine</t>
  </si>
  <si>
    <t>Taille moyenne des séances de vaccination</t>
  </si>
  <si>
    <t>Vial size</t>
  </si>
  <si>
    <t>No. of supply chain levels</t>
  </si>
  <si>
    <t>Closed vial wastage per level</t>
  </si>
  <si>
    <t>Frequency of sessions</t>
  </si>
  <si>
    <t>No. of weeks in year</t>
  </si>
  <si>
    <t>Target coverage</t>
  </si>
  <si>
    <t>per target</t>
  </si>
  <si>
    <t>No. of doses in the schedule</t>
  </si>
  <si>
    <t>Annual target population</t>
  </si>
  <si>
    <t>mdvp</t>
  </si>
  <si>
    <t>No. doses anticipated per session</t>
  </si>
  <si>
    <t>Binomial distribution of doses administered per session</t>
  </si>
  <si>
    <t>vials used</t>
  </si>
  <si>
    <t>Vaccine:</t>
  </si>
  <si>
    <t>Avoidable opened vial wastage</t>
  </si>
  <si>
    <t>session_planning</t>
  </si>
  <si>
    <t>VACCINATION SESSION PLANNING &amp; DEMAND FORECAST</t>
  </si>
  <si>
    <t>PLANIFICATION DES SEANCES DE VACCINATION &amp; ESTIMATION DE LA DEMANDE EN VACCIN</t>
  </si>
  <si>
    <t>Number of vaccination sessions per week</t>
  </si>
  <si>
    <t>reuse</t>
  </si>
  <si>
    <t>ré-utilisable</t>
  </si>
  <si>
    <t>week</t>
  </si>
  <si>
    <t>semaine</t>
  </si>
  <si>
    <t>DISTRICT VACCINATION SESSION PLANNING &amp; VACCINE WASTAGE ESTIMATION</t>
  </si>
  <si>
    <t>Target population</t>
  </si>
  <si>
    <t>Population cible</t>
  </si>
  <si>
    <t>TAILLE MOYENNE SEANCES &amp; TAUX DE PERTES EN VACCIN DE L'ETABLISSEMENT</t>
  </si>
  <si>
    <t>FACILITY MEAN SESSION SIZE &amp; VACCINE WASTAGE RATES</t>
  </si>
  <si>
    <t>FACILITIES OF SELECTED ADMINISTRATIVE UNIT</t>
  </si>
  <si>
    <t>ETABLISSEMENTS  DE L'UNITE ADMINISTRATIVE SELECTIONNEE</t>
  </si>
  <si>
    <t>References</t>
  </si>
  <si>
    <t>Références</t>
  </si>
  <si>
    <t>doses/vial</t>
  </si>
  <si>
    <t>Estimation of anticipated vaccine wastage</t>
  </si>
  <si>
    <t>Estimation des taux de pertes anticipés de vaccin</t>
  </si>
  <si>
    <t>Vaccin:</t>
  </si>
  <si>
    <t>Population cible annuelle</t>
  </si>
  <si>
    <t>Nbre doses du calendrier</t>
  </si>
  <si>
    <t>Objectif couverture</t>
  </si>
  <si>
    <t>Nbre semaines de travail</t>
  </si>
  <si>
    <t>par cible</t>
  </si>
  <si>
    <t>OUTIL DE PLANIFICATION DES SEANCES DE VACCINATION DU DISTRICT</t>
  </si>
  <si>
    <t>per</t>
  </si>
  <si>
    <t>par</t>
  </si>
  <si>
    <t>Fréquence des séances</t>
  </si>
  <si>
    <t>Anticipated opened vial wastage</t>
  </si>
  <si>
    <t>Pertes anticipées en flacons entamés</t>
  </si>
  <si>
    <t>Taille flacon</t>
  </si>
  <si>
    <t>doses/flacon</t>
  </si>
  <si>
    <t>days</t>
  </si>
  <si>
    <t>jours</t>
  </si>
  <si>
    <t>Pertes en flacons non ouverts per niveau</t>
  </si>
  <si>
    <t>Pertes évitables en flacons entamés</t>
  </si>
  <si>
    <t>Nbre niveaux CA</t>
  </si>
  <si>
    <t>Pourecentage naissances vivantes</t>
  </si>
  <si>
    <t>% of live births</t>
  </si>
  <si>
    <t>Couverture</t>
  </si>
  <si>
    <t>Coverage</t>
  </si>
  <si>
    <t>Cobertura</t>
  </si>
  <si>
    <t>calculus</t>
  </si>
  <si>
    <t>Distribution binomiale des doses administrées par séance</t>
  </si>
  <si>
    <t>Mean session size</t>
  </si>
  <si>
    <t>Standard deviation of session size distribution</t>
  </si>
  <si>
    <t>Ecart type de la distribution de la taille des séances</t>
  </si>
  <si>
    <t>Stock de sécurité pour l'incertitude de la demande (doses)</t>
  </si>
  <si>
    <t>Estimation of annual vaccine demand (doses)</t>
  </si>
  <si>
    <t>Safety stock for incertainty in demand (doses)</t>
  </si>
  <si>
    <t>Estimation des besoins annuels en vaccins (doses)</t>
  </si>
  <si>
    <t>Total vaccine needs (doses)</t>
  </si>
  <si>
    <t>Total besoins en vaccins (doses)</t>
  </si>
  <si>
    <t>Service point:</t>
  </si>
  <si>
    <t>Point de service</t>
  </si>
  <si>
    <t>Storage temperature (°C)</t>
  </si>
  <si>
    <t>Température de stockage (°C)</t>
  </si>
  <si>
    <t>Standard deviation of monthly demand</t>
  </si>
  <si>
    <t>Ecart type de la demande mensuelle</t>
  </si>
  <si>
    <t>Sessions per week</t>
  </si>
  <si>
    <t>Weeks per year</t>
  </si>
  <si>
    <t>Anticipated wastage rate</t>
  </si>
  <si>
    <t>Doses needed</t>
  </si>
  <si>
    <t>No.</t>
  </si>
  <si>
    <t>Annual</t>
  </si>
  <si>
    <t>Monthly</t>
  </si>
  <si>
    <t>Groups</t>
  </si>
  <si>
    <t>Groupes</t>
  </si>
  <si>
    <t>Séances par semaine</t>
  </si>
  <si>
    <t>Semaines par an</t>
  </si>
  <si>
    <t>Taux de pertes anticipés</t>
  </si>
  <si>
    <t>Doses requises</t>
  </si>
  <si>
    <t>Annuelles</t>
  </si>
  <si>
    <t>Mensuelles</t>
  </si>
  <si>
    <t>Stock de sécurité</t>
  </si>
  <si>
    <t>doses</t>
  </si>
  <si>
    <t>Safety stock</t>
  </si>
  <si>
    <t>Summary of health facility vaccine forecasts</t>
  </si>
  <si>
    <t>Synthèse des besoins en vaccins du centre de santé</t>
  </si>
  <si>
    <t>Nbre</t>
  </si>
  <si>
    <t>Doses per target</t>
  </si>
  <si>
    <t>Doses par cible</t>
  </si>
  <si>
    <t>Forecast</t>
  </si>
  <si>
    <t>Doses per vial</t>
  </si>
  <si>
    <t>Doses par flacon</t>
  </si>
  <si>
    <t>Couverture attendue</t>
  </si>
  <si>
    <t>Coverage expected</t>
  </si>
  <si>
    <t>Taille moyenne des séances</t>
  </si>
  <si>
    <t>Activity type</t>
  </si>
  <si>
    <t>Type d'activité</t>
  </si>
  <si>
    <t>Routine</t>
  </si>
  <si>
    <t>SIAs</t>
  </si>
  <si>
    <t>AVS</t>
  </si>
  <si>
    <t>Doses of vials opened per session</t>
  </si>
  <si>
    <t>Doses administered per session</t>
  </si>
  <si>
    <t>Doses des flacons ouverts par séance</t>
  </si>
  <si>
    <t>Doses administrées par séance</t>
  </si>
  <si>
    <t>vaccine needs</t>
  </si>
  <si>
    <t>besoins en vaccins</t>
  </si>
  <si>
    <t>Enfants survivants</t>
  </si>
  <si>
    <t>Scheduled Vaccines</t>
  </si>
  <si>
    <t>Vaccins du calendrier</t>
  </si>
  <si>
    <t>Vacinas</t>
  </si>
  <si>
    <t>Séances de l'année</t>
  </si>
  <si>
    <t>Taux de pertes rapportés</t>
  </si>
  <si>
    <t>Annual vaccination sessions</t>
  </si>
  <si>
    <t>Reported wastage rates</t>
  </si>
  <si>
    <t>Total doses administered</t>
  </si>
  <si>
    <t>Total doses administrées</t>
  </si>
  <si>
    <t>Taux de pertes en vaccin - antiticipés et rapportés</t>
  </si>
  <si>
    <t>Wastage rates - anticipated and reported</t>
  </si>
  <si>
    <t>Provincial</t>
  </si>
  <si>
    <t>Provinces</t>
  </si>
  <si>
    <t>List here all the vaccines to be used both for routine and supplementary activities.</t>
  </si>
  <si>
    <t>List here all the health facilities involves in the vaccination activities. Indicate for each facility to be listed with the hierarchy (district and subnational).</t>
  </si>
  <si>
    <t>Type of facility and if it is active or not;</t>
  </si>
  <si>
    <t>The cover page contains xxx</t>
  </si>
  <si>
    <t>Language, country name and year;</t>
  </si>
  <si>
    <t>select for each relevant level the appropriate entity.</t>
  </si>
  <si>
    <t>Input for each facility the session plan for all the vaccines in routine schedule. Cells for data entry are in yellow from colunm "I" to "U".</t>
  </si>
  <si>
    <t>Input for each vaccine the number of weeks use (0, 1, 2, 3 or 4) as per national MDVP. Cells for data entry are in yellow in row 5 from colunm "AK" to "AW".</t>
  </si>
  <si>
    <t>The following outputs generated are:</t>
  </si>
  <si>
    <t>WHO Indicative Wastage Rates - estimations</t>
  </si>
  <si>
    <t>Taux de Pertes Indicatives de l'OMS - estimations</t>
  </si>
  <si>
    <t>per wastage factor</t>
  </si>
  <si>
    <t>per session plan</t>
  </si>
  <si>
    <t>Version March 2022</t>
  </si>
  <si>
    <t>Version Mars 2022</t>
  </si>
  <si>
    <t>Versão Mar 2022</t>
  </si>
  <si>
    <t>Total population and distance from/to supplying store.</t>
  </si>
  <si>
    <t>index</t>
  </si>
  <si>
    <t>Level (National, Subnational, District)</t>
  </si>
  <si>
    <t>Saisir ici laliste de tous les établissements impliqués dans les activités de vaccination. Indiquer pour chaque établissement les lien hiérarchiques (district et provincial).</t>
  </si>
  <si>
    <t>Type d'établissement et si actif ou non;</t>
  </si>
  <si>
    <t>Population totale et distance du/au dépôt d'approvisionnement.</t>
  </si>
  <si>
    <t>Les résultats suivants sont générés:</t>
  </si>
  <si>
    <t>Saisir pour chaque vaccin, le nombre semaines de réutilisation (0, 1, 2, 3 or 4) selon la politique des facons entamés (PFE). Les cellules de saisie des données sont en jaune dans les colonnes "AK" à "AW".</t>
  </si>
  <si>
    <t>Multidose Vial Policy</t>
  </si>
  <si>
    <t>Politique Flacons Entamés</t>
  </si>
  <si>
    <t># sessions (mdvp)</t>
  </si>
  <si>
    <t>Prog</t>
  </si>
  <si>
    <t>SAB_0.05ml</t>
  </si>
  <si>
    <t>SAB_0.5ml</t>
  </si>
  <si>
    <t>PFS</t>
  </si>
  <si>
    <t>SPR</t>
  </si>
  <si>
    <t>ADS_0.3ml</t>
  </si>
  <si>
    <t>SAB_0.3ml</t>
  </si>
  <si>
    <t>ADS_1.0ml</t>
  </si>
  <si>
    <t>SAB_1.0ml</t>
  </si>
  <si>
    <t>Dilution syringes</t>
  </si>
  <si>
    <t>Seringues dilution</t>
  </si>
  <si>
    <t>Seringas Diluição</t>
  </si>
  <si>
    <t>Sdiluição_2ml</t>
  </si>
  <si>
    <t>Nasal</t>
  </si>
  <si>
    <t>Sdiluição_5ml</t>
  </si>
  <si>
    <t>Sdilution_6ml</t>
  </si>
  <si>
    <t>Sdiluição_6ml</t>
  </si>
  <si>
    <t>No. of weeks an opened vial of vaccine is used</t>
  </si>
  <si>
    <t>Nbre de semaines un flacon entamé de vaccin est utilisé</t>
  </si>
  <si>
    <t>Nbre de doses anticipées par séance</t>
  </si>
  <si>
    <t>Effective number of vaccination sessions of year</t>
  </si>
  <si>
    <t>Nombre effectif de séances de vaccination de l'année</t>
  </si>
  <si>
    <t>Syringes for injection</t>
  </si>
  <si>
    <t>Seringues pour injection</t>
  </si>
  <si>
    <t>Syringes for a month</t>
  </si>
  <si>
    <t>Seringues pour un mois</t>
  </si>
  <si>
    <t>Safety boxes, 5l</t>
  </si>
  <si>
    <t>Boîtes sécurité, 5l</t>
  </si>
  <si>
    <t>Synthèse des besoins en matériel d'injection du centre de santé</t>
  </si>
  <si>
    <t>Summary of health facility forecasts of safe injection supplies</t>
  </si>
  <si>
    <t>Pertes totales anticipées (flacons non-ouverts &amp; ouverts)</t>
  </si>
  <si>
    <t>Anticipated total wastage (close-vial &amp; open-vial)</t>
  </si>
  <si>
    <t>Estimation of annual demand of safe injection supplies (units)</t>
  </si>
  <si>
    <t>Estimation des besoins annuels en matériels d'injection (unités)</t>
  </si>
  <si>
    <t>Safety boxes</t>
  </si>
  <si>
    <t>Boîtes sécurité</t>
  </si>
  <si>
    <t>vaccines</t>
  </si>
  <si>
    <t>vaccins</t>
  </si>
  <si>
    <t>matériels d'injection</t>
  </si>
  <si>
    <t>safe injection equipment</t>
  </si>
  <si>
    <t>Service level</t>
  </si>
  <si>
    <t>Niveau de service</t>
  </si>
  <si>
    <t>Public clinic</t>
  </si>
  <si>
    <t>$US/dose</t>
  </si>
  <si>
    <t>BCG</t>
  </si>
  <si>
    <t>Estimated vaccine cost ($US)</t>
  </si>
  <si>
    <t>Coût estimatif du vaccin ($US)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</si>
</sst>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* #,##0.00\ &quot;F&quot;_-;\-* #,##0.00\ &quot;F&quot;_-;_-* &quot;-&quot;??\ &quot;F&quot;_-;_-@_-"/>
    <numFmt numFmtId="168" formatCode="[$-F800]dddd\,\ mmmm\ dd\,\ yyyy"/>
    <numFmt numFmtId="169" formatCode="_-* #,##0_-;\-* #,##0_-;_-* &quot;-&quot;??_-;_-@_-"/>
    <numFmt numFmtId="170" formatCode="_(&quot;$&quot;* #,##0_);_(&quot;$&quot;* \(#,##0\);_(&quot;$&quot;* &quot;-&quot;??_);_(@_)"/>
  </numFmts>
  <fonts count="5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9"/>
      <name val="Arial"/>
      <family val="2"/>
    </font>
    <font>
      <sz val="8"/>
      <name val="Arial"/>
      <family val="2"/>
    </font>
    <font>
      <b/>
      <sz val="14"/>
      <color indexed="9"/>
      <name val="Calibri"/>
      <family val="2"/>
    </font>
    <font>
      <b/>
      <sz val="10"/>
      <color indexed="9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name val="Arial"/>
      <family val="2"/>
    </font>
    <font>
      <sz val="11"/>
      <color indexed="9"/>
      <name val="Calibri"/>
      <family val="2"/>
    </font>
    <font>
      <b/>
      <sz val="8"/>
      <color indexed="9"/>
      <name val="Calibri"/>
      <family val="2"/>
    </font>
    <font>
      <sz val="8"/>
      <name val="Calibri"/>
      <family val="2"/>
      <scheme val="minor"/>
    </font>
    <font>
      <b/>
      <sz val="16"/>
      <color indexed="9"/>
      <name val="Arial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</borders>
  <cellStyleXfs count="68">
    <xf numFmtId="168" fontId="0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22" fillId="13" borderId="0" applyNumberFormat="0" applyBorder="0" applyAlignment="0" applyProtection="0"/>
    <xf numFmtId="168" fontId="22" fillId="14" borderId="0" applyNumberFormat="0" applyBorder="0" applyAlignment="0" applyProtection="0"/>
    <xf numFmtId="168" fontId="22" fillId="15" borderId="0" applyNumberFormat="0" applyBorder="0" applyAlignment="0" applyProtection="0"/>
    <xf numFmtId="168" fontId="22" fillId="16" borderId="0" applyNumberFormat="0" applyBorder="0" applyAlignment="0" applyProtection="0"/>
    <xf numFmtId="168" fontId="22" fillId="17" borderId="0" applyNumberFormat="0" applyBorder="0" applyAlignment="0" applyProtection="0"/>
    <xf numFmtId="168" fontId="22" fillId="18" borderId="0" applyNumberFormat="0" applyBorder="0" applyAlignment="0" applyProtection="0"/>
    <xf numFmtId="168" fontId="22" fillId="19" borderId="0" applyNumberFormat="0" applyBorder="0" applyAlignment="0" applyProtection="0"/>
    <xf numFmtId="168" fontId="22" fillId="20" borderId="0" applyNumberFormat="0" applyBorder="0" applyAlignment="0" applyProtection="0"/>
    <xf numFmtId="168" fontId="22" fillId="21" borderId="0" applyNumberFormat="0" applyBorder="0" applyAlignment="0" applyProtection="0"/>
    <xf numFmtId="168" fontId="22" fillId="16" borderId="0" applyNumberFormat="0" applyBorder="0" applyAlignment="0" applyProtection="0"/>
    <xf numFmtId="168" fontId="22" fillId="19" borderId="0" applyNumberFormat="0" applyBorder="0" applyAlignment="0" applyProtection="0"/>
    <xf numFmtId="168" fontId="22" fillId="22" borderId="0" applyNumberFormat="0" applyBorder="0" applyAlignment="0" applyProtection="0"/>
    <xf numFmtId="168" fontId="16" fillId="23" borderId="0" applyNumberFormat="0" applyBorder="0" applyAlignment="0" applyProtection="0"/>
    <xf numFmtId="168" fontId="16" fillId="20" borderId="0" applyNumberFormat="0" applyBorder="0" applyAlignment="0" applyProtection="0"/>
    <xf numFmtId="168" fontId="16" fillId="21" borderId="0" applyNumberFormat="0" applyBorder="0" applyAlignment="0" applyProtection="0"/>
    <xf numFmtId="168" fontId="16" fillId="24" borderId="0" applyNumberFormat="0" applyBorder="0" applyAlignment="0" applyProtection="0"/>
    <xf numFmtId="168" fontId="16" fillId="25" borderId="0" applyNumberFormat="0" applyBorder="0" applyAlignment="0" applyProtection="0"/>
    <xf numFmtId="168" fontId="16" fillId="26" borderId="0" applyNumberFormat="0" applyBorder="0" applyAlignment="0" applyProtection="0"/>
    <xf numFmtId="168" fontId="23" fillId="0" borderId="0" applyNumberFormat="0" applyFill="0" applyBorder="0" applyAlignment="0" applyProtection="0"/>
    <xf numFmtId="168" fontId="24" fillId="27" borderId="16" applyNumberFormat="0" applyAlignment="0" applyProtection="0"/>
    <xf numFmtId="168" fontId="25" fillId="0" borderId="17" applyNumberFormat="0" applyFill="0" applyAlignment="0" applyProtection="0"/>
    <xf numFmtId="168" fontId="4" fillId="28" borderId="18" applyNumberFormat="0" applyFont="0" applyAlignment="0" applyProtection="0"/>
    <xf numFmtId="168" fontId="26" fillId="18" borderId="16" applyNumberFormat="0" applyAlignment="0" applyProtection="0"/>
    <xf numFmtId="168" fontId="4" fillId="0" borderId="0" applyFont="0" applyFill="0" applyBorder="0" applyAlignment="0" applyProtection="0"/>
    <xf numFmtId="168" fontId="27" fillId="14" borderId="0" applyNumberFormat="0" applyBorder="0" applyAlignment="0" applyProtection="0"/>
    <xf numFmtId="168" fontId="28" fillId="29" borderId="0" applyNumberFormat="0" applyBorder="0" applyAlignment="0" applyProtection="0"/>
    <xf numFmtId="168" fontId="4" fillId="0" borderId="0"/>
    <xf numFmtId="9" fontId="4" fillId="0" borderId="0" applyFont="0" applyFill="0" applyBorder="0" applyAlignment="0" applyProtection="0"/>
    <xf numFmtId="168" fontId="29" fillId="15" borderId="0" applyNumberFormat="0" applyBorder="0" applyAlignment="0" applyProtection="0"/>
    <xf numFmtId="168" fontId="30" fillId="27" borderId="19" applyNumberFormat="0" applyAlignment="0" applyProtection="0"/>
    <xf numFmtId="168" fontId="31" fillId="0" borderId="0" applyNumberFormat="0" applyFill="0" applyBorder="0" applyAlignment="0" applyProtection="0"/>
    <xf numFmtId="168" fontId="32" fillId="0" borderId="0" applyNumberFormat="0" applyFill="0" applyBorder="0" applyAlignment="0" applyProtection="0"/>
    <xf numFmtId="168" fontId="33" fillId="0" borderId="20" applyNumberFormat="0" applyFill="0" applyAlignment="0" applyProtection="0"/>
    <xf numFmtId="168" fontId="34" fillId="0" borderId="21" applyNumberFormat="0" applyFill="0" applyAlignment="0" applyProtection="0"/>
    <xf numFmtId="168" fontId="35" fillId="0" borderId="22" applyNumberFormat="0" applyFill="0" applyAlignment="0" applyProtection="0"/>
    <xf numFmtId="168" fontId="35" fillId="0" borderId="0" applyNumberFormat="0" applyFill="0" applyBorder="0" applyAlignment="0" applyProtection="0"/>
    <xf numFmtId="168" fontId="36" fillId="30" borderId="23" applyNumberFormat="0" applyAlignment="0" applyProtection="0"/>
    <xf numFmtId="168" fontId="37" fillId="0" borderId="0"/>
    <xf numFmtId="164" fontId="2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4" fillId="0" borderId="0"/>
    <xf numFmtId="0" fontId="37" fillId="0" borderId="0"/>
    <xf numFmtId="168" fontId="3" fillId="0" borderId="0"/>
    <xf numFmtId="0" fontId="3" fillId="0" borderId="0"/>
    <xf numFmtId="0" fontId="41" fillId="0" borderId="0"/>
    <xf numFmtId="165" fontId="4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7" fillId="0" borderId="0"/>
    <xf numFmtId="44" fontId="4" fillId="0" borderId="0" applyFont="0" applyFill="0" applyBorder="0" applyAlignment="0" applyProtection="0"/>
  </cellStyleXfs>
  <cellXfs count="145">
    <xf numFmtId="168" fontId="0" fillId="0" borderId="0" xfId="0"/>
    <xf numFmtId="1" fontId="17" fillId="4" borderId="0" xfId="0" applyNumberFormat="1" applyFont="1" applyFill="1" applyBorder="1"/>
    <xf numFmtId="0" fontId="19" fillId="4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horizontal="right" vertical="center"/>
    </xf>
    <xf numFmtId="0" fontId="11" fillId="4" borderId="0" xfId="0" applyNumberFormat="1" applyFont="1" applyFill="1" applyAlignment="1">
      <alignment horizontal="left" vertical="center" wrapText="1"/>
    </xf>
    <xf numFmtId="0" fontId="21" fillId="4" borderId="0" xfId="0" applyNumberFormat="1" applyFont="1" applyFill="1" applyBorder="1" applyAlignment="1">
      <alignment vertical="center" wrapText="1"/>
    </xf>
    <xf numFmtId="0" fontId="21" fillId="4" borderId="0" xfId="0" applyNumberFormat="1" applyFont="1" applyFill="1" applyAlignment="1">
      <alignment vertical="center" wrapText="1"/>
    </xf>
    <xf numFmtId="0" fontId="0" fillId="4" borderId="0" xfId="0" applyNumberFormat="1" applyFill="1" applyAlignment="1">
      <alignment vertical="center"/>
    </xf>
    <xf numFmtId="0" fontId="4" fillId="2" borderId="0" xfId="0" applyNumberFormat="1" applyFont="1" applyFill="1" applyAlignment="1">
      <alignment vertical="center"/>
    </xf>
    <xf numFmtId="0" fontId="15" fillId="5" borderId="0" xfId="0" applyNumberFormat="1" applyFont="1" applyFill="1" applyAlignment="1">
      <alignment vertical="center"/>
    </xf>
    <xf numFmtId="0" fontId="4" fillId="5" borderId="0" xfId="0" applyNumberFormat="1" applyFont="1" applyFill="1" applyAlignment="1">
      <alignment vertical="center"/>
    </xf>
    <xf numFmtId="0" fontId="4" fillId="0" borderId="0" xfId="0" applyNumberFormat="1" applyFont="1" applyAlignment="1">
      <alignment vertical="center"/>
    </xf>
    <xf numFmtId="0" fontId="0" fillId="0" borderId="0" xfId="0" applyNumberFormat="1"/>
    <xf numFmtId="0" fontId="8" fillId="0" borderId="0" xfId="0" applyNumberFormat="1" applyFont="1"/>
    <xf numFmtId="0" fontId="8" fillId="0" borderId="0" xfId="0" applyNumberFormat="1" applyFont="1" applyAlignment="1">
      <alignment wrapText="1"/>
    </xf>
    <xf numFmtId="0" fontId="10" fillId="4" borderId="0" xfId="0" applyNumberFormat="1" applyFont="1" applyFill="1" applyBorder="1"/>
    <xf numFmtId="0" fontId="9" fillId="2" borderId="0" xfId="0" applyNumberFormat="1" applyFont="1" applyFill="1" applyAlignment="1">
      <alignment vertical="center"/>
    </xf>
    <xf numFmtId="0" fontId="9" fillId="0" borderId="0" xfId="0" applyNumberFormat="1" applyFont="1" applyAlignment="1">
      <alignment vertical="center"/>
    </xf>
    <xf numFmtId="0" fontId="11" fillId="4" borderId="25" xfId="0" applyNumberFormat="1" applyFont="1" applyFill="1" applyBorder="1" applyAlignment="1">
      <alignment wrapText="1"/>
    </xf>
    <xf numFmtId="0" fontId="11" fillId="4" borderId="14" xfId="0" applyNumberFormat="1" applyFont="1" applyFill="1" applyBorder="1" applyAlignment="1">
      <alignment wrapText="1"/>
    </xf>
    <xf numFmtId="0" fontId="11" fillId="4" borderId="14" xfId="0" applyNumberFormat="1" applyFont="1" applyFill="1" applyBorder="1" applyAlignment="1" applyProtection="1">
      <alignment wrapText="1"/>
      <protection locked="0"/>
    </xf>
    <xf numFmtId="0" fontId="11" fillId="4" borderId="24" xfId="0" applyNumberFormat="1" applyFont="1" applyFill="1" applyBorder="1" applyAlignment="1" applyProtection="1">
      <alignment wrapText="1"/>
      <protection locked="0"/>
    </xf>
    <xf numFmtId="0" fontId="9" fillId="2" borderId="30" xfId="0" applyNumberFormat="1" applyFont="1" applyFill="1" applyBorder="1"/>
    <xf numFmtId="0" fontId="8" fillId="6" borderId="27" xfId="0" applyNumberFormat="1" applyFont="1" applyFill="1" applyBorder="1" applyAlignment="1">
      <alignment wrapText="1"/>
    </xf>
    <xf numFmtId="0" fontId="8" fillId="6" borderId="27" xfId="0" applyNumberFormat="1" applyFont="1" applyFill="1" applyBorder="1" applyAlignment="1" applyProtection="1">
      <alignment wrapText="1"/>
      <protection locked="0"/>
    </xf>
    <xf numFmtId="0" fontId="8" fillId="6" borderId="29" xfId="0" applyNumberFormat="1" applyFont="1" applyFill="1" applyBorder="1" applyAlignment="1" applyProtection="1">
      <alignment wrapText="1"/>
      <protection locked="0"/>
    </xf>
    <xf numFmtId="0" fontId="8" fillId="3" borderId="27" xfId="0" applyNumberFormat="1" applyFont="1" applyFill="1" applyBorder="1" applyAlignment="1">
      <alignment wrapText="1"/>
    </xf>
    <xf numFmtId="0" fontId="8" fillId="0" borderId="27" xfId="0" applyNumberFormat="1" applyFont="1" applyBorder="1" applyAlignment="1" applyProtection="1">
      <alignment wrapText="1"/>
      <protection locked="0"/>
    </xf>
    <xf numFmtId="0" fontId="8" fillId="0" borderId="29" xfId="0" applyNumberFormat="1" applyFont="1" applyBorder="1" applyAlignment="1" applyProtection="1">
      <alignment wrapText="1"/>
      <protection locked="0"/>
    </xf>
    <xf numFmtId="0" fontId="8" fillId="5" borderId="27" xfId="0" applyNumberFormat="1" applyFont="1" applyFill="1" applyBorder="1" applyAlignment="1">
      <alignment wrapText="1"/>
    </xf>
    <xf numFmtId="0" fontId="8" fillId="7" borderId="27" xfId="0" applyNumberFormat="1" applyFont="1" applyFill="1" applyBorder="1" applyAlignment="1">
      <alignment wrapText="1"/>
    </xf>
    <xf numFmtId="0" fontId="8" fillId="8" borderId="27" xfId="0" applyNumberFormat="1" applyFont="1" applyFill="1" applyBorder="1" applyAlignment="1">
      <alignment wrapText="1"/>
    </xf>
    <xf numFmtId="0" fontId="8" fillId="0" borderId="27" xfId="0" applyNumberFormat="1" applyFont="1" applyFill="1" applyBorder="1" applyAlignment="1" applyProtection="1">
      <alignment wrapText="1"/>
      <protection locked="0"/>
    </xf>
    <xf numFmtId="0" fontId="8" fillId="0" borderId="29" xfId="0" applyNumberFormat="1" applyFont="1" applyFill="1" applyBorder="1" applyAlignment="1" applyProtection="1">
      <alignment wrapText="1"/>
      <protection locked="0"/>
    </xf>
    <xf numFmtId="0" fontId="8" fillId="12" borderId="27" xfId="0" applyNumberFormat="1" applyFont="1" applyFill="1" applyBorder="1" applyAlignment="1">
      <alignment wrapText="1"/>
    </xf>
    <xf numFmtId="0" fontId="8" fillId="0" borderId="27" xfId="0" quotePrefix="1" applyNumberFormat="1" applyFont="1" applyFill="1" applyBorder="1" applyAlignment="1" applyProtection="1">
      <alignment wrapText="1"/>
      <protection locked="0"/>
    </xf>
    <xf numFmtId="0" fontId="8" fillId="10" borderId="27" xfId="0" applyNumberFormat="1" applyFont="1" applyFill="1" applyBorder="1" applyAlignment="1">
      <alignment wrapText="1"/>
    </xf>
    <xf numFmtId="0" fontId="8" fillId="10" borderId="13" xfId="0" applyNumberFormat="1" applyFont="1" applyFill="1" applyBorder="1" applyAlignment="1">
      <alignment wrapText="1"/>
    </xf>
    <xf numFmtId="0" fontId="14" fillId="0" borderId="0" xfId="61" applyFont="1"/>
    <xf numFmtId="0" fontId="14" fillId="0" borderId="27" xfId="61" applyFont="1" applyBorder="1"/>
    <xf numFmtId="0" fontId="18" fillId="0" borderId="0" xfId="61" applyFont="1"/>
    <xf numFmtId="0" fontId="14" fillId="0" borderId="14" xfId="61" applyFont="1" applyBorder="1"/>
    <xf numFmtId="0" fontId="38" fillId="11" borderId="10" xfId="61" applyFont="1" applyFill="1" applyBorder="1" applyAlignment="1" applyProtection="1">
      <alignment horizontal="center"/>
      <protection locked="0"/>
    </xf>
    <xf numFmtId="0" fontId="38" fillId="11" borderId="10" xfId="61" quotePrefix="1" applyFont="1" applyFill="1" applyBorder="1" applyAlignment="1" applyProtection="1">
      <alignment horizontal="center"/>
      <protection locked="0"/>
    </xf>
    <xf numFmtId="0" fontId="40" fillId="0" borderId="0" xfId="61" applyFont="1"/>
    <xf numFmtId="0" fontId="42" fillId="0" borderId="0" xfId="61" applyFont="1"/>
    <xf numFmtId="0" fontId="10" fillId="4" borderId="0" xfId="61" applyFont="1" applyFill="1"/>
    <xf numFmtId="0" fontId="5" fillId="4" borderId="0" xfId="61" applyFont="1" applyFill="1"/>
    <xf numFmtId="9" fontId="14" fillId="0" borderId="14" xfId="2" applyFont="1" applyBorder="1"/>
    <xf numFmtId="0" fontId="13" fillId="9" borderId="11" xfId="61" applyFont="1" applyFill="1" applyBorder="1" applyAlignment="1">
      <alignment horizontal="center"/>
    </xf>
    <xf numFmtId="0" fontId="13" fillId="11" borderId="13" xfId="61" applyFont="1" applyFill="1" applyBorder="1" applyAlignment="1">
      <alignment horizontal="center"/>
    </xf>
    <xf numFmtId="0" fontId="13" fillId="11" borderId="11" xfId="61" applyFont="1" applyFill="1" applyBorder="1" applyAlignment="1">
      <alignment horizontal="center"/>
    </xf>
    <xf numFmtId="0" fontId="13" fillId="9" borderId="15" xfId="61" applyFont="1" applyFill="1" applyBorder="1" applyAlignment="1">
      <alignment horizontal="center" vertical="center" wrapText="1"/>
    </xf>
    <xf numFmtId="9" fontId="13" fillId="31" borderId="11" xfId="2" applyFont="1" applyFill="1" applyBorder="1" applyAlignment="1">
      <alignment horizontal="centerContinuous" vertical="center"/>
    </xf>
    <xf numFmtId="0" fontId="13" fillId="9" borderId="8" xfId="61" applyFont="1" applyFill="1" applyBorder="1" applyAlignment="1">
      <alignment horizontal="centerContinuous"/>
    </xf>
    <xf numFmtId="0" fontId="13" fillId="9" borderId="7" xfId="61" applyFont="1" applyFill="1" applyBorder="1" applyAlignment="1">
      <alignment horizontal="centerContinuous"/>
    </xf>
    <xf numFmtId="0" fontId="14" fillId="0" borderId="0" xfId="61" applyFont="1" applyAlignment="1">
      <alignment horizontal="right"/>
    </xf>
    <xf numFmtId="0" fontId="43" fillId="0" borderId="0" xfId="61" applyFont="1"/>
    <xf numFmtId="1" fontId="14" fillId="0" borderId="0" xfId="61" applyNumberFormat="1" applyFont="1"/>
    <xf numFmtId="0" fontId="42" fillId="0" borderId="0" xfId="61" applyFont="1" applyAlignment="1">
      <alignment horizontal="right"/>
    </xf>
    <xf numFmtId="0" fontId="6" fillId="0" borderId="0" xfId="61" applyFont="1" applyFill="1" applyAlignment="1">
      <alignment horizontal="right"/>
    </xf>
    <xf numFmtId="0" fontId="13" fillId="32" borderId="13" xfId="61" applyFont="1" applyFill="1" applyBorder="1" applyAlignment="1">
      <alignment horizontal="center"/>
    </xf>
    <xf numFmtId="0" fontId="14" fillId="32" borderId="13" xfId="61" applyFont="1" applyFill="1" applyBorder="1" applyAlignment="1">
      <alignment horizontal="right"/>
    </xf>
    <xf numFmtId="0" fontId="14" fillId="0" borderId="14" xfId="61" applyFont="1" applyBorder="1" applyAlignment="1">
      <alignment horizontal="right"/>
    </xf>
    <xf numFmtId="0" fontId="14" fillId="0" borderId="27" xfId="61" applyFont="1" applyBorder="1" applyAlignment="1">
      <alignment horizontal="right"/>
    </xf>
    <xf numFmtId="0" fontId="14" fillId="0" borderId="31" xfId="61" applyFont="1" applyBorder="1" applyAlignment="1">
      <alignment horizontal="right"/>
    </xf>
    <xf numFmtId="0" fontId="38" fillId="0" borderId="14" xfId="61" applyFont="1" applyFill="1" applyBorder="1" applyAlignment="1" applyProtection="1">
      <alignment horizontal="center"/>
    </xf>
    <xf numFmtId="0" fontId="38" fillId="0" borderId="27" xfId="61" applyFont="1" applyFill="1" applyBorder="1" applyAlignment="1" applyProtection="1">
      <alignment horizontal="center"/>
    </xf>
    <xf numFmtId="0" fontId="14" fillId="32" borderId="13" xfId="61" applyFont="1" applyFill="1" applyBorder="1" applyAlignment="1">
      <alignment horizontal="center"/>
    </xf>
    <xf numFmtId="0" fontId="44" fillId="2" borderId="30" xfId="0" applyNumberFormat="1" applyFont="1" applyFill="1" applyBorder="1"/>
    <xf numFmtId="0" fontId="45" fillId="0" borderId="27" xfId="0" applyNumberFormat="1" applyFont="1" applyBorder="1" applyAlignment="1" applyProtection="1">
      <alignment wrapText="1"/>
      <protection locked="0"/>
    </xf>
    <xf numFmtId="0" fontId="45" fillId="0" borderId="29" xfId="0" applyNumberFormat="1" applyFont="1" applyBorder="1" applyAlignment="1" applyProtection="1">
      <alignment wrapText="1"/>
      <protection locked="0"/>
    </xf>
    <xf numFmtId="0" fontId="44" fillId="2" borderId="26" xfId="0" applyNumberFormat="1" applyFont="1" applyFill="1" applyBorder="1"/>
    <xf numFmtId="0" fontId="45" fillId="0" borderId="28" xfId="0" applyNumberFormat="1" applyFont="1" applyBorder="1" applyAlignment="1" applyProtection="1">
      <alignment wrapText="1"/>
      <protection locked="0"/>
    </xf>
    <xf numFmtId="0" fontId="45" fillId="0" borderId="32" xfId="0" applyNumberFormat="1" applyFont="1" applyBorder="1" applyAlignment="1" applyProtection="1">
      <alignment wrapText="1"/>
      <protection locked="0"/>
    </xf>
    <xf numFmtId="0" fontId="8" fillId="0" borderId="28" xfId="0" applyNumberFormat="1" applyFont="1" applyFill="1" applyBorder="1" applyAlignment="1" applyProtection="1">
      <alignment wrapText="1"/>
      <protection locked="0"/>
    </xf>
    <xf numFmtId="0" fontId="8" fillId="0" borderId="28" xfId="0" applyNumberFormat="1" applyFont="1" applyBorder="1" applyAlignment="1" applyProtection="1">
      <alignment wrapText="1"/>
      <protection locked="0"/>
    </xf>
    <xf numFmtId="0" fontId="13" fillId="5" borderId="13" xfId="61" applyFont="1" applyFill="1" applyBorder="1" applyAlignment="1">
      <alignment horizontal="center" vertical="center" wrapText="1"/>
    </xf>
    <xf numFmtId="9" fontId="12" fillId="0" borderId="10" xfId="2" applyFont="1" applyBorder="1"/>
    <xf numFmtId="9" fontId="12" fillId="0" borderId="27" xfId="2" applyFont="1" applyBorder="1"/>
    <xf numFmtId="0" fontId="46" fillId="2" borderId="30" xfId="0" applyNumberFormat="1" applyFont="1" applyFill="1" applyBorder="1"/>
    <xf numFmtId="0" fontId="47" fillId="8" borderId="27" xfId="0" applyNumberFormat="1" applyFont="1" applyFill="1" applyBorder="1" applyAlignment="1">
      <alignment wrapText="1"/>
    </xf>
    <xf numFmtId="0" fontId="47" fillId="0" borderId="27" xfId="0" applyNumberFormat="1" applyFont="1" applyBorder="1" applyAlignment="1" applyProtection="1">
      <alignment wrapText="1"/>
      <protection locked="0"/>
    </xf>
    <xf numFmtId="0" fontId="47" fillId="0" borderId="29" xfId="0" applyNumberFormat="1" applyFont="1" applyBorder="1" applyAlignment="1" applyProtection="1">
      <alignment wrapText="1"/>
      <protection locked="0"/>
    </xf>
    <xf numFmtId="0" fontId="46" fillId="2" borderId="26" xfId="0" applyNumberFormat="1" applyFont="1" applyFill="1" applyBorder="1"/>
    <xf numFmtId="0" fontId="47" fillId="0" borderId="28" xfId="0" applyNumberFormat="1" applyFont="1" applyBorder="1" applyAlignment="1" applyProtection="1">
      <alignment wrapText="1"/>
      <protection locked="0"/>
    </xf>
    <xf numFmtId="0" fontId="47" fillId="0" borderId="32" xfId="0" applyNumberFormat="1" applyFont="1" applyBorder="1" applyAlignment="1" applyProtection="1">
      <alignment wrapText="1"/>
      <protection locked="0"/>
    </xf>
    <xf numFmtId="0" fontId="8" fillId="33" borderId="27" xfId="0" applyNumberFormat="1" applyFont="1" applyFill="1" applyBorder="1" applyAlignment="1">
      <alignment wrapText="1"/>
    </xf>
    <xf numFmtId="0" fontId="9" fillId="2" borderId="26" xfId="0" applyNumberFormat="1" applyFont="1" applyFill="1" applyBorder="1"/>
    <xf numFmtId="0" fontId="8" fillId="0" borderId="32" xfId="0" applyNumberFormat="1" applyFont="1" applyBorder="1" applyAlignment="1" applyProtection="1">
      <alignment wrapText="1"/>
      <protection locked="0"/>
    </xf>
    <xf numFmtId="0" fontId="8" fillId="8" borderId="28" xfId="0" applyNumberFormat="1" applyFont="1" applyFill="1" applyBorder="1" applyAlignment="1">
      <alignment wrapText="1"/>
    </xf>
    <xf numFmtId="0" fontId="14" fillId="32" borderId="13" xfId="61" applyFont="1" applyFill="1" applyBorder="1" applyAlignment="1">
      <alignment horizontal="center" vertical="center"/>
    </xf>
    <xf numFmtId="2" fontId="12" fillId="0" borderId="27" xfId="2" applyNumberFormat="1" applyFont="1" applyFill="1" applyBorder="1"/>
    <xf numFmtId="3" fontId="12" fillId="0" borderId="27" xfId="2" applyNumberFormat="1" applyFont="1" applyFill="1" applyBorder="1"/>
    <xf numFmtId="0" fontId="14" fillId="11" borderId="10" xfId="61" applyFont="1" applyFill="1" applyBorder="1" applyProtection="1">
      <protection locked="0"/>
    </xf>
    <xf numFmtId="0" fontId="14" fillId="11" borderId="27" xfId="61" applyFont="1" applyFill="1" applyBorder="1" applyProtection="1">
      <protection locked="0"/>
    </xf>
    <xf numFmtId="2" fontId="13" fillId="34" borderId="0" xfId="61" applyNumberFormat="1" applyFont="1" applyFill="1"/>
    <xf numFmtId="0" fontId="8" fillId="0" borderId="27" xfId="0" applyNumberFormat="1" applyFont="1" applyBorder="1" applyAlignment="1" applyProtection="1">
      <protection locked="0"/>
    </xf>
    <xf numFmtId="0" fontId="38" fillId="11" borderId="31" xfId="61" applyFont="1" applyFill="1" applyBorder="1" applyAlignment="1" applyProtection="1">
      <alignment horizontal="center"/>
      <protection locked="0"/>
    </xf>
    <xf numFmtId="1" fontId="12" fillId="0" borderId="10" xfId="2" applyNumberFormat="1" applyFont="1" applyFill="1" applyBorder="1"/>
    <xf numFmtId="0" fontId="48" fillId="2" borderId="30" xfId="0" applyNumberFormat="1" applyFont="1" applyFill="1" applyBorder="1"/>
    <xf numFmtId="0" fontId="49" fillId="0" borderId="27" xfId="0" applyNumberFormat="1" applyFont="1" applyBorder="1" applyAlignment="1" applyProtection="1">
      <alignment wrapText="1"/>
      <protection locked="0"/>
    </xf>
    <xf numFmtId="0" fontId="49" fillId="0" borderId="29" xfId="0" applyNumberFormat="1" applyFont="1" applyBorder="1" applyAlignment="1" applyProtection="1">
      <alignment wrapText="1"/>
      <protection locked="0"/>
    </xf>
    <xf numFmtId="0" fontId="49" fillId="36" borderId="27" xfId="0" applyNumberFormat="1" applyFont="1" applyFill="1" applyBorder="1" applyAlignment="1">
      <alignment wrapText="1"/>
    </xf>
    <xf numFmtId="0" fontId="8" fillId="36" borderId="27" xfId="0" applyNumberFormat="1" applyFont="1" applyFill="1" applyBorder="1" applyAlignment="1">
      <alignment wrapText="1"/>
    </xf>
    <xf numFmtId="3" fontId="12" fillId="0" borderId="27" xfId="2" applyNumberFormat="1" applyFont="1" applyFill="1" applyBorder="1" applyAlignment="1"/>
    <xf numFmtId="1" fontId="18" fillId="0" borderId="0" xfId="61" applyNumberFormat="1" applyFont="1"/>
    <xf numFmtId="1" fontId="14" fillId="35" borderId="0" xfId="61" applyNumberFormat="1" applyFont="1" applyFill="1"/>
    <xf numFmtId="9" fontId="14" fillId="11" borderId="27" xfId="61" applyNumberFormat="1" applyFont="1" applyFill="1" applyBorder="1" applyProtection="1">
      <protection locked="0"/>
    </xf>
    <xf numFmtId="169" fontId="39" fillId="11" borderId="31" xfId="1" applyNumberFormat="1" applyFont="1" applyFill="1" applyBorder="1" applyProtection="1">
      <protection locked="0"/>
    </xf>
    <xf numFmtId="0" fontId="14" fillId="0" borderId="0" xfId="61" applyFont="1" applyBorder="1" applyAlignment="1">
      <alignment horizontal="right"/>
    </xf>
    <xf numFmtId="0" fontId="39" fillId="0" borderId="0" xfId="61" applyFont="1" applyBorder="1" applyAlignment="1">
      <alignment horizontal="right"/>
    </xf>
    <xf numFmtId="168" fontId="6" fillId="11" borderId="1" xfId="0" applyFont="1" applyFill="1" applyBorder="1" applyAlignment="1" applyProtection="1">
      <protection locked="0"/>
    </xf>
    <xf numFmtId="0" fontId="13" fillId="11" borderId="27" xfId="61" applyFont="1" applyFill="1" applyBorder="1" applyAlignment="1" applyProtection="1">
      <alignment horizontal="center"/>
      <protection locked="0"/>
    </xf>
    <xf numFmtId="0" fontId="14" fillId="0" borderId="27" xfId="61" applyFont="1" applyFill="1" applyBorder="1" applyAlignment="1">
      <alignment horizontal="right"/>
    </xf>
    <xf numFmtId="0" fontId="14" fillId="0" borderId="0" xfId="61" applyFont="1" applyFill="1"/>
    <xf numFmtId="0" fontId="42" fillId="0" borderId="0" xfId="61" applyFont="1" applyFill="1" applyAlignment="1">
      <alignment horizontal="right"/>
    </xf>
    <xf numFmtId="1" fontId="14" fillId="0" borderId="0" xfId="61" applyNumberFormat="1" applyFont="1" applyAlignment="1">
      <alignment horizontal="right"/>
    </xf>
    <xf numFmtId="2" fontId="13" fillId="11" borderId="8" xfId="61" applyNumberFormat="1" applyFont="1" applyFill="1" applyBorder="1" applyProtection="1">
      <protection locked="0"/>
    </xf>
    <xf numFmtId="9" fontId="39" fillId="11" borderId="10" xfId="61" applyNumberFormat="1" applyFont="1" applyFill="1" applyBorder="1" applyProtection="1">
      <protection locked="0"/>
    </xf>
    <xf numFmtId="9" fontId="39" fillId="11" borderId="31" xfId="61" applyNumberFormat="1" applyFont="1" applyFill="1" applyBorder="1" applyProtection="1">
      <protection locked="0"/>
    </xf>
    <xf numFmtId="170" fontId="12" fillId="0" borderId="31" xfId="67" applyNumberFormat="1" applyFont="1" applyFill="1" applyBorder="1"/>
    <xf numFmtId="0" fontId="13" fillId="11" borderId="31" xfId="61" applyFont="1" applyFill="1" applyBorder="1" applyAlignment="1" applyProtection="1">
      <alignment horizontal="center"/>
      <protection locked="0"/>
    </xf>
    <xf numFmtId="0" fontId="6" fillId="11" borderId="0" xfId="61" applyFont="1" applyFill="1" applyAlignment="1" applyProtection="1">
      <alignment horizontal="left"/>
      <protection locked="0"/>
    </xf>
    <xf numFmtId="0" fontId="6" fillId="11" borderId="12" xfId="61" applyFont="1" applyFill="1" applyBorder="1" applyAlignment="1" applyProtection="1">
      <alignment horizontal="left"/>
      <protection locked="0"/>
    </xf>
    <xf numFmtId="0" fontId="6" fillId="11" borderId="15" xfId="61" applyFont="1" applyFill="1" applyBorder="1" applyAlignment="1" applyProtection="1">
      <alignment horizontal="left"/>
      <protection locked="0"/>
    </xf>
    <xf numFmtId="0" fontId="39" fillId="32" borderId="7" xfId="61" applyFont="1" applyFill="1" applyBorder="1" applyAlignment="1">
      <alignment horizontal="center"/>
    </xf>
    <xf numFmtId="0" fontId="39" fillId="32" borderId="8" xfId="61" applyFont="1" applyFill="1" applyBorder="1" applyAlignment="1">
      <alignment horizontal="center"/>
    </xf>
    <xf numFmtId="0" fontId="39" fillId="32" borderId="11" xfId="61" applyFont="1" applyFill="1" applyBorder="1" applyAlignment="1">
      <alignment horizontal="center"/>
    </xf>
    <xf numFmtId="0" fontId="39" fillId="32" borderId="2" xfId="61" applyFont="1" applyFill="1" applyBorder="1" applyAlignment="1">
      <alignment horizontal="left" vertical="center" wrapText="1"/>
    </xf>
    <xf numFmtId="0" fontId="39" fillId="32" borderId="3" xfId="61" applyFont="1" applyFill="1" applyBorder="1" applyAlignment="1">
      <alignment horizontal="left" vertical="center" wrapText="1"/>
    </xf>
    <xf numFmtId="0" fontId="39" fillId="32" borderId="4" xfId="61" applyFont="1" applyFill="1" applyBorder="1" applyAlignment="1">
      <alignment horizontal="left" vertical="center" wrapText="1"/>
    </xf>
    <xf numFmtId="0" fontId="39" fillId="32" borderId="5" xfId="61" applyFont="1" applyFill="1" applyBorder="1" applyAlignment="1">
      <alignment horizontal="left" vertical="center" wrapText="1"/>
    </xf>
    <xf numFmtId="0" fontId="39" fillId="32" borderId="2" xfId="61" applyFont="1" applyFill="1" applyBorder="1" applyAlignment="1">
      <alignment horizontal="left" wrapText="1"/>
    </xf>
    <xf numFmtId="0" fontId="39" fillId="32" borderId="3" xfId="61" applyFont="1" applyFill="1" applyBorder="1" applyAlignment="1">
      <alignment horizontal="left" wrapText="1"/>
    </xf>
    <xf numFmtId="0" fontId="39" fillId="32" borderId="4" xfId="61" applyFont="1" applyFill="1" applyBorder="1" applyAlignment="1">
      <alignment horizontal="left" wrapText="1"/>
    </xf>
    <xf numFmtId="0" fontId="39" fillId="32" borderId="5" xfId="61" applyFont="1" applyFill="1" applyBorder="1" applyAlignment="1">
      <alignment horizontal="left" wrapText="1"/>
    </xf>
    <xf numFmtId="0" fontId="13" fillId="5" borderId="6" xfId="61" applyFont="1" applyFill="1" applyBorder="1" applyAlignment="1">
      <alignment horizontal="center" vertical="center" wrapText="1"/>
    </xf>
    <xf numFmtId="0" fontId="13" fillId="5" borderId="9" xfId="61" applyFont="1" applyFill="1" applyBorder="1" applyAlignment="1">
      <alignment horizontal="center" vertical="center" wrapText="1"/>
    </xf>
    <xf numFmtId="0" fontId="13" fillId="9" borderId="2" xfId="61" applyFont="1" applyFill="1" applyBorder="1" applyAlignment="1">
      <alignment horizontal="center" wrapText="1"/>
    </xf>
    <xf numFmtId="0" fontId="13" fillId="9" borderId="3" xfId="61" applyFont="1" applyFill="1" applyBorder="1" applyAlignment="1">
      <alignment horizontal="center" wrapText="1"/>
    </xf>
    <xf numFmtId="0" fontId="13" fillId="9" borderId="4" xfId="61" applyFont="1" applyFill="1" applyBorder="1" applyAlignment="1">
      <alignment horizontal="center" wrapText="1"/>
    </xf>
    <xf numFmtId="0" fontId="13" fillId="9" borderId="5" xfId="61" applyFont="1" applyFill="1" applyBorder="1" applyAlignment="1">
      <alignment horizontal="center" wrapText="1"/>
    </xf>
    <xf numFmtId="0" fontId="13" fillId="9" borderId="6" xfId="61" applyFont="1" applyFill="1" applyBorder="1" applyAlignment="1">
      <alignment horizontal="center" wrapText="1"/>
    </xf>
    <xf numFmtId="0" fontId="13" fillId="9" borderId="9" xfId="61" applyFont="1" applyFill="1" applyBorder="1" applyAlignment="1">
      <alignment horizontal="center" wrapText="1"/>
    </xf>
  </cellXfs>
  <cellStyles count="68">
    <cellStyle name="20 % - Accent1" xfId="6" xr:uid="{00000000-0005-0000-0000-000000000000}"/>
    <cellStyle name="20 % - Accent2" xfId="7" xr:uid="{00000000-0005-0000-0000-000001000000}"/>
    <cellStyle name="20 % - Accent3" xfId="8" xr:uid="{00000000-0005-0000-0000-000002000000}"/>
    <cellStyle name="20 % - Accent4" xfId="9" xr:uid="{00000000-0005-0000-0000-000003000000}"/>
    <cellStyle name="20 % - Accent5" xfId="10" xr:uid="{00000000-0005-0000-0000-000004000000}"/>
    <cellStyle name="20 % - Accent6" xfId="11" xr:uid="{00000000-0005-0000-0000-000005000000}"/>
    <cellStyle name="40 % - Accent1" xfId="12" xr:uid="{00000000-0005-0000-0000-000006000000}"/>
    <cellStyle name="40 % - Accent2" xfId="13" xr:uid="{00000000-0005-0000-0000-000007000000}"/>
    <cellStyle name="40 % - Accent3" xfId="14" xr:uid="{00000000-0005-0000-0000-000008000000}"/>
    <cellStyle name="40 % - Accent4" xfId="15" xr:uid="{00000000-0005-0000-0000-000009000000}"/>
    <cellStyle name="40 % - Accent5" xfId="16" xr:uid="{00000000-0005-0000-0000-00000A000000}"/>
    <cellStyle name="40 % - Accent6" xfId="17" xr:uid="{00000000-0005-0000-0000-00000B000000}"/>
    <cellStyle name="60 % - Accent1" xfId="18" xr:uid="{00000000-0005-0000-0000-00000C000000}"/>
    <cellStyle name="60 % - Accent2" xfId="19" xr:uid="{00000000-0005-0000-0000-00000D000000}"/>
    <cellStyle name="60 % - Accent3" xfId="20" xr:uid="{00000000-0005-0000-0000-00000E000000}"/>
    <cellStyle name="60 % - Accent4" xfId="21" xr:uid="{00000000-0005-0000-0000-00000F000000}"/>
    <cellStyle name="60 % - Accent5" xfId="22" xr:uid="{00000000-0005-0000-0000-000010000000}"/>
    <cellStyle name="60 % - Accent6" xfId="23" xr:uid="{00000000-0005-0000-0000-000011000000}"/>
    <cellStyle name="Avertissement" xfId="24" xr:uid="{00000000-0005-0000-0000-000012000000}"/>
    <cellStyle name="Calcul" xfId="25" xr:uid="{00000000-0005-0000-0000-000013000000}"/>
    <cellStyle name="Cellule liée" xfId="26" xr:uid="{00000000-0005-0000-0000-000014000000}"/>
    <cellStyle name="Comma" xfId="1" builtinId="3"/>
    <cellStyle name="Comma 2" xfId="44" xr:uid="{00000000-0005-0000-0000-000015000000}"/>
    <cellStyle name="Commentaire" xfId="27" xr:uid="{00000000-0005-0000-0000-000016000000}"/>
    <cellStyle name="Currency" xfId="67" builtinId="4"/>
    <cellStyle name="Currency 2" xfId="5" xr:uid="{00000000-0005-0000-0000-000017000000}"/>
    <cellStyle name="Currency 3" xfId="62" xr:uid="{26928502-598F-4790-B820-AE47339941C7}"/>
    <cellStyle name="Entrée" xfId="28" xr:uid="{00000000-0005-0000-0000-000018000000}"/>
    <cellStyle name="Euro" xfId="29" xr:uid="{00000000-0005-0000-0000-000019000000}"/>
    <cellStyle name="Insatisfaisant" xfId="30" xr:uid="{00000000-0005-0000-0000-00001A000000}"/>
    <cellStyle name="Neutre" xfId="31" xr:uid="{00000000-0005-0000-0000-00001E000000}"/>
    <cellStyle name="Normal" xfId="0" builtinId="0"/>
    <cellStyle name="Normal 2" xfId="32" xr:uid="{00000000-0005-0000-0000-000020000000}"/>
    <cellStyle name="Normal 2 10" xfId="49" xr:uid="{00000000-0005-0000-0000-000021000000}"/>
    <cellStyle name="Normal 2 11" xfId="46" xr:uid="{00000000-0005-0000-0000-000022000000}"/>
    <cellStyle name="Normal 2 12" xfId="48" xr:uid="{00000000-0005-0000-0000-000023000000}"/>
    <cellStyle name="Normal 2 2" xfId="3" xr:uid="{00000000-0005-0000-0000-000024000000}"/>
    <cellStyle name="Normal 2 2 2" xfId="47" xr:uid="{00000000-0005-0000-0000-000025000000}"/>
    <cellStyle name="Normal 2 3" xfId="50" xr:uid="{00000000-0005-0000-0000-000026000000}"/>
    <cellStyle name="Normal 2 4" xfId="51" xr:uid="{00000000-0005-0000-0000-000027000000}"/>
    <cellStyle name="Normal 2 5" xfId="52" xr:uid="{00000000-0005-0000-0000-000028000000}"/>
    <cellStyle name="Normal 2 6" xfId="53" xr:uid="{00000000-0005-0000-0000-000029000000}"/>
    <cellStyle name="Normal 2 7" xfId="54" xr:uid="{00000000-0005-0000-0000-00002A000000}"/>
    <cellStyle name="Normal 2 8" xfId="55" xr:uid="{00000000-0005-0000-0000-00002B000000}"/>
    <cellStyle name="Normal 2 9" xfId="56" xr:uid="{00000000-0005-0000-0000-00002C000000}"/>
    <cellStyle name="Normal 3" xfId="43" xr:uid="{00000000-0005-0000-0000-00002D000000}"/>
    <cellStyle name="Normal 3 2" xfId="59" xr:uid="{00000000-0005-0000-0000-00002E000000}"/>
    <cellStyle name="Normal 4" xfId="45" xr:uid="{00000000-0005-0000-0000-00002F000000}"/>
    <cellStyle name="Normal 5" xfId="57" xr:uid="{00000000-0005-0000-0000-000030000000}"/>
    <cellStyle name="Normal 5 2" xfId="66" xr:uid="{6647DDFB-56D9-4D0C-8017-EB732E93219A}"/>
    <cellStyle name="Normal 6" xfId="58" xr:uid="{00000000-0005-0000-0000-000031000000}"/>
    <cellStyle name="Normal 6 2" xfId="60" xr:uid="{00000000-0005-0000-0000-000032000000}"/>
    <cellStyle name="Normal 7" xfId="61" xr:uid="{692C4F1A-BD62-48C6-B083-CE73E2059BA4}"/>
    <cellStyle name="Normal 8" xfId="63" xr:uid="{582B2B51-9E85-44C3-B890-4F08F25C8D85}"/>
    <cellStyle name="Normal 9" xfId="64" xr:uid="{6FB9C8FD-6B64-428A-B0D4-0E2FB122C4D0}"/>
    <cellStyle name="Percent" xfId="2" builtinId="5"/>
    <cellStyle name="Percent 2" xfId="4" xr:uid="{00000000-0005-0000-0000-000035000000}"/>
    <cellStyle name="Percent 3" xfId="65" xr:uid="{C9D1F346-8931-4F25-91D2-92C994DF14B5}"/>
    <cellStyle name="Pourcentage 2" xfId="33" xr:uid="{00000000-0005-0000-0000-000037000000}"/>
    <cellStyle name="Satisfaisant" xfId="34" xr:uid="{00000000-0005-0000-0000-000038000000}"/>
    <cellStyle name="Sortie" xfId="35" xr:uid="{00000000-0005-0000-0000-000039000000}"/>
    <cellStyle name="Texte explicatif" xfId="36" xr:uid="{00000000-0005-0000-0000-00003A000000}"/>
    <cellStyle name="Titre" xfId="37" xr:uid="{00000000-0005-0000-0000-00003B000000}"/>
    <cellStyle name="Titre 1" xfId="38" xr:uid="{00000000-0005-0000-0000-00003C000000}"/>
    <cellStyle name="Titre 2" xfId="39" xr:uid="{00000000-0005-0000-0000-00003D000000}"/>
    <cellStyle name="Titre 3" xfId="40" xr:uid="{00000000-0005-0000-0000-00003E000000}"/>
    <cellStyle name="Titre 4" xfId="41" xr:uid="{00000000-0005-0000-0000-00003F000000}"/>
    <cellStyle name="Vérification" xfId="42" xr:uid="{00000000-0005-0000-0000-000040000000}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indexed="4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solid">
          <fgColor indexed="64"/>
          <bgColor indexed="4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solid">
          <fgColor indexed="64"/>
          <bgColor indexed="9"/>
        </patternFill>
      </fill>
      <border diagonalUp="0" diagonalDown="0">
        <left/>
        <right style="thin">
          <color indexed="64"/>
        </right>
        <top style="hair">
          <color indexed="64"/>
        </top>
        <bottom style="hair">
          <color indexed="64"/>
        </bottom>
        <vertical style="thin">
          <color indexed="64"/>
        </vertical>
        <horizontal style="hair">
          <color indexed="64"/>
        </horizontal>
      </border>
    </dxf>
    <dxf>
      <border>
        <top style="hair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border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9"/>
        <name val="Arial"/>
        <scheme val="none"/>
      </font>
      <numFmt numFmtId="0" formatCode="General"/>
      <fill>
        <patternFill patternType="solid">
          <fgColor indexed="64"/>
          <bgColor indexed="21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hair">
          <color indexed="64"/>
        </horizontal>
      </border>
      <protection locked="0" hidden="0"/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FFFF99"/>
      <color rgb="FFFFFFCC"/>
      <color rgb="FF0000FF"/>
      <color rgb="FFCCFFFF"/>
      <color rgb="FFFFCCFF"/>
      <color rgb="FFFF99FF"/>
      <color rgb="FF008080"/>
      <color rgb="FFDDDDDD"/>
      <color rgb="FF0066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simulation!$B$26</c:f>
          <c:strCache>
            <c:ptCount val="1"/>
            <c:pt idx="0">
              <c:v>Anticipated total wastage (close-vial &amp; open-vial)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simulation!$B$29</c:f>
              <c:strCache>
                <c:ptCount val="1"/>
                <c:pt idx="0">
                  <c:v>2-$US/dose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simulation!$D$27:$F$27</c:f>
              <c:strCache>
                <c:ptCount val="3"/>
                <c:pt idx="0">
                  <c:v>5 days/week</c:v>
                </c:pt>
                <c:pt idx="1">
                  <c:v>1 days/week</c:v>
                </c:pt>
                <c:pt idx="2">
                  <c:v>0.5 days/week</c:v>
                </c:pt>
              </c:strCache>
            </c:strRef>
          </c:cat>
          <c:val>
            <c:numRef>
              <c:f>simulation!$D$29:$F$29</c:f>
              <c:numCache>
                <c:formatCode>0%</c:formatCode>
                <c:ptCount val="3"/>
                <c:pt idx="0">
                  <c:v>0.18145319311897745</c:v>
                </c:pt>
                <c:pt idx="1">
                  <c:v>6.9172120720651709E-2</c:v>
                </c:pt>
                <c:pt idx="2">
                  <c:v>5.4436061381074152E-2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64-4EA9-9370-03137046D7E3}"/>
            </c:ext>
          </c:extLst>
        </c:ser>
        <c:ser>
          <c:idx val="1"/>
          <c:order val="1"/>
          <c:tx>
            <c:strRef>
              <c:f>simulation!$B$30</c:f>
              <c:strCache>
                <c:ptCount val="1"/>
                <c:pt idx="0">
                  <c:v>4-$US/dose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simulation!$D$27:$F$27</c:f>
              <c:strCache>
                <c:ptCount val="3"/>
                <c:pt idx="0">
                  <c:v>5 days/week</c:v>
                </c:pt>
                <c:pt idx="1">
                  <c:v>1 days/week</c:v>
                </c:pt>
                <c:pt idx="2">
                  <c:v>0.5 days/week</c:v>
                </c:pt>
              </c:strCache>
            </c:strRef>
          </c:cat>
          <c:val>
            <c:numRef>
              <c:f>simulation!$D$30:$F$30</c:f>
              <c:numCache>
                <c:formatCode>0%</c:formatCode>
                <c:ptCount val="3"/>
                <c:pt idx="0">
                  <c:v>0.35606761045372359</c:v>
                </c:pt>
                <c:pt idx="1">
                  <c:v>0.12122134268748597</c:v>
                </c:pt>
                <c:pt idx="2">
                  <c:v>8.2142944794109773E-2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64-4EA9-9370-03137046D7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067200"/>
        <c:axId val="436067528"/>
      </c:lineChart>
      <c:catAx>
        <c:axId val="43606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067528"/>
        <c:crosses val="autoZero"/>
        <c:auto val="1"/>
        <c:lblAlgn val="ctr"/>
        <c:lblOffset val="100"/>
        <c:noMultiLvlLbl val="0"/>
      </c:catAx>
      <c:valAx>
        <c:axId val="43606752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3606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calculus!$A$7</c:f>
          <c:strCache>
            <c:ptCount val="1"/>
            <c:pt idx="0">
              <c:v>Binomial distribution of doses administered per session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1583581160093746"/>
          <c:y val="0.11461363310217554"/>
          <c:w val="0.86135443869238904"/>
          <c:h val="0.7500566915358435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calculus!$B$9</c:f>
              <c:strCache>
                <c:ptCount val="1"/>
                <c:pt idx="0">
                  <c:v>5 days/week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calculus!$A$11:$A$50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cat>
          <c:val>
            <c:numRef>
              <c:f>calculus!$B$11:$B$50</c:f>
              <c:numCache>
                <c:formatCode>0%</c:formatCode>
                <c:ptCount val="40"/>
                <c:pt idx="0">
                  <c:v>3.8351368336437729E-2</c:v>
                </c:pt>
                <c:pt idx="1">
                  <c:v>0.12532392749271073</c:v>
                </c:pt>
                <c:pt idx="2">
                  <c:v>0.20450348000902588</c:v>
                </c:pt>
                <c:pt idx="3">
                  <c:v>0.22218718399864873</c:v>
                </c:pt>
                <c:pt idx="4">
                  <c:v>0.18081760371438146</c:v>
                </c:pt>
                <c:pt idx="5">
                  <c:v>0.11756927036491581</c:v>
                </c:pt>
                <c:pt idx="6">
                  <c:v>6.362186457683032E-2</c:v>
                </c:pt>
                <c:pt idx="7">
                  <c:v>2.9472172771693655E-2</c:v>
                </c:pt>
                <c:pt idx="8">
                  <c:v>1.1930680818666776E-2</c:v>
                </c:pt>
                <c:pt idx="9">
                  <c:v>4.2875017539885764E-3</c:v>
                </c:pt>
                <c:pt idx="10">
                  <c:v>1.3849168845519587E-3</c:v>
                </c:pt>
                <c:pt idx="11">
                  <c:v>4.0615097679328962E-4</c:v>
                </c:pt>
                <c:pt idx="12">
                  <c:v>1.0904332361605063E-4</c:v>
                </c:pt>
                <c:pt idx="13">
                  <c:v>2.6988836775263188E-5</c:v>
                </c:pt>
                <c:pt idx="14">
                  <c:v>6.1946881779444629E-6</c:v>
                </c:pt>
                <c:pt idx="15">
                  <c:v>1.3253349602464129E-6</c:v>
                </c:pt>
                <c:pt idx="16">
                  <c:v>2.6548289214141054E-7</c:v>
                </c:pt>
                <c:pt idx="17">
                  <c:v>4.9986318604031421E-8</c:v>
                </c:pt>
                <c:pt idx="18">
                  <c:v>8.8771611839795224E-9</c:v>
                </c:pt>
                <c:pt idx="19">
                  <c:v>1.49158202672899E-9</c:v>
                </c:pt>
                <c:pt idx="20">
                  <c:v>2.3777939421914209E-10</c:v>
                </c:pt>
                <c:pt idx="21">
                  <c:v>3.6053022315355106E-11</c:v>
                </c:pt>
                <c:pt idx="22">
                  <c:v>5.2111633624324286E-12</c:v>
                </c:pt>
                <c:pt idx="23">
                  <c:v>7.1953301657016743E-13</c:v>
                </c:pt>
                <c:pt idx="24">
                  <c:v>9.5084732663909683E-14</c:v>
                </c:pt>
                <c:pt idx="25">
                  <c:v>1.2046718431226787E-14</c:v>
                </c:pt>
                <c:pt idx="26">
                  <c:v>1.4656129922766914E-15</c:v>
                </c:pt>
                <c:pt idx="27">
                  <c:v>1.714764929751923E-16</c:v>
                </c:pt>
                <c:pt idx="28">
                  <c:v>1.9320573177419934E-17</c:v>
                </c:pt>
                <c:pt idx="29">
                  <c:v>2.099032116952414E-18</c:v>
                </c:pt>
                <c:pt idx="30">
                  <c:v>2.2014953304717231E-19</c:v>
                </c:pt>
                <c:pt idx="31">
                  <c:v>2.2315062669513374E-20</c:v>
                </c:pt>
                <c:pt idx="32">
                  <c:v>2.1883233527896354E-21</c:v>
                </c:pt>
                <c:pt idx="33">
                  <c:v>2.0781719173823216E-22</c:v>
                </c:pt>
                <c:pt idx="34">
                  <c:v>1.9129615975904364E-23</c:v>
                </c:pt>
                <c:pt idx="35">
                  <c:v>1.7082872843993407E-24</c:v>
                </c:pt>
                <c:pt idx="36">
                  <c:v>1.4811509927497917E-25</c:v>
                </c:pt>
                <c:pt idx="37">
                  <c:v>1.2478316064667951E-26</c:v>
                </c:pt>
                <c:pt idx="38">
                  <c:v>1.0222271693583856E-27</c:v>
                </c:pt>
                <c:pt idx="39">
                  <c:v>8.1484259932762845E-29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B-4FAF-AF12-78830DDA25A9}"/>
            </c:ext>
          </c:extLst>
        </c:ser>
        <c:ser>
          <c:idx val="0"/>
          <c:order val="1"/>
          <c:tx>
            <c:strRef>
              <c:f>calculus!$F$9</c:f>
              <c:strCache>
                <c:ptCount val="1"/>
                <c:pt idx="0">
                  <c:v>1 days/week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  <a:effectLst/>
          </c:spPr>
          <c:invertIfNegative val="0"/>
          <c:cat>
            <c:numRef>
              <c:f>calculus!$A$11:$A$50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cat>
          <c:val>
            <c:numRef>
              <c:f>calculus!$F$11:$F$50</c:f>
              <c:numCache>
                <c:formatCode>0%</c:formatCode>
                <c:ptCount val="40"/>
                <c:pt idx="0">
                  <c:v>7.2280418337274203E-8</c:v>
                </c:pt>
                <c:pt idx="1">
                  <c:v>1.2010852493917277E-6</c:v>
                </c:pt>
                <c:pt idx="2">
                  <c:v>9.9664520694207017E-6</c:v>
                </c:pt>
                <c:pt idx="3">
                  <c:v>5.5062880582118795E-5</c:v>
                </c:pt>
                <c:pt idx="4">
                  <c:v>2.2786660155791694E-4</c:v>
                </c:pt>
                <c:pt idx="5">
                  <c:v>7.5341425281064513E-4</c:v>
                </c:pt>
                <c:pt idx="6">
                  <c:v>2.0732250361030491E-3</c:v>
                </c:pt>
                <c:pt idx="7">
                  <c:v>4.8837367871728361E-3</c:v>
                </c:pt>
                <c:pt idx="8">
                  <c:v>1.0053224131041956E-2</c:v>
                </c:pt>
                <c:pt idx="9">
                  <c:v>1.8371494688641691E-2</c:v>
                </c:pt>
                <c:pt idx="10">
                  <c:v>3.0176157233258238E-2</c:v>
                </c:pt>
                <c:pt idx="11">
                  <c:v>4.5001580709559223E-2</c:v>
                </c:pt>
                <c:pt idx="12">
                  <c:v>6.1438328273689009E-2</c:v>
                </c:pt>
                <c:pt idx="13">
                  <c:v>7.7325817418112688E-2</c:v>
                </c:pt>
                <c:pt idx="14">
                  <c:v>9.0252625801079817E-2</c:v>
                </c:pt>
                <c:pt idx="15">
                  <c:v>9.8189736155217311E-2</c:v>
                </c:pt>
                <c:pt idx="16">
                  <c:v>0.10001773656236235</c:v>
                </c:pt>
                <c:pt idx="17">
                  <c:v>9.5761662666091554E-2</c:v>
                </c:pt>
                <c:pt idx="18">
                  <c:v>8.6479799381671357E-2</c:v>
                </c:pt>
                <c:pt idx="19">
                  <c:v>7.3890354902816646E-2</c:v>
                </c:pt>
                <c:pt idx="20">
                  <c:v>5.9898351527602388E-2</c:v>
                </c:pt>
                <c:pt idx="21">
                  <c:v>4.6183024835365197E-2</c:v>
                </c:pt>
                <c:pt idx="22">
                  <c:v>3.39449698983341E-2</c:v>
                </c:pt>
                <c:pt idx="23">
                  <c:v>2.3833702269043133E-2</c:v>
                </c:pt>
                <c:pt idx="24">
                  <c:v>1.6015909858098153E-2</c:v>
                </c:pt>
                <c:pt idx="25">
                  <c:v>1.0318335117089602E-2</c:v>
                </c:pt>
                <c:pt idx="26">
                  <c:v>6.3835199251389019E-3</c:v>
                </c:pt>
                <c:pt idx="27">
                  <c:v>3.7979176859573513E-3</c:v>
                </c:pt>
                <c:pt idx="28">
                  <c:v>2.1760105890667411E-3</c:v>
                </c:pt>
                <c:pt idx="29">
                  <c:v>1.2021540525071622E-3</c:v>
                </c:pt>
                <c:pt idx="30">
                  <c:v>6.4114882800381853E-4</c:v>
                </c:pt>
                <c:pt idx="31">
                  <c:v>3.3047547689146663E-4</c:v>
                </c:pt>
                <c:pt idx="32">
                  <c:v>1.6479827637540001E-4</c:v>
                </c:pt>
                <c:pt idx="33">
                  <c:v>7.9583435851176602E-5</c:v>
                </c:pt>
                <c:pt idx="34">
                  <c:v>3.7251821036720774E-5</c:v>
                </c:pt>
                <c:pt idx="35">
                  <c:v>1.6916176482936465E-5</c:v>
                </c:pt>
                <c:pt idx="36">
                  <c:v>7.4583142176539836E-6</c:v>
                </c:pt>
                <c:pt idx="37">
                  <c:v>3.1951949926119707E-6</c:v>
                </c:pt>
                <c:pt idx="38">
                  <c:v>1.3310330764296248E-6</c:v>
                </c:pt>
                <c:pt idx="39">
                  <c:v>5.3952950124779775E-7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BB-4FAF-AF12-78830DDA25A9}"/>
            </c:ext>
          </c:extLst>
        </c:ser>
        <c:ser>
          <c:idx val="2"/>
          <c:order val="2"/>
          <c:tx>
            <c:strRef>
              <c:f>calculus!$J$9</c:f>
              <c:strCache>
                <c:ptCount val="1"/>
                <c:pt idx="0">
                  <c:v>0.5 days/week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numRef>
              <c:f>calculus!$A$11:$A$50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</c:numCache>
            </c:numRef>
          </c:cat>
          <c:val>
            <c:numRef>
              <c:f>calculus!$J$11:$J$50</c:f>
              <c:numCache>
                <c:formatCode>0%</c:formatCode>
                <c:ptCount val="40"/>
                <c:pt idx="0">
                  <c:v>3.6682603618144125E-15</c:v>
                </c:pt>
                <c:pt idx="1">
                  <c:v>1.2456136272074202E-13</c:v>
                </c:pt>
                <c:pt idx="2">
                  <c:v>2.1121274548299782E-12</c:v>
                </c:pt>
                <c:pt idx="3">
                  <c:v>2.3845612859602138E-11</c:v>
                </c:pt>
                <c:pt idx="4">
                  <c:v>2.0165094353011266E-10</c:v>
                </c:pt>
                <c:pt idx="5">
                  <c:v>1.3624589836773841E-9</c:v>
                </c:pt>
                <c:pt idx="6">
                  <c:v>7.6613635603887292E-9</c:v>
                </c:pt>
                <c:pt idx="7">
                  <c:v>3.6879234529821528E-8</c:v>
                </c:pt>
                <c:pt idx="8">
                  <c:v>1.55133301772184E-7</c:v>
                </c:pt>
                <c:pt idx="9">
                  <c:v>5.7931421386424275E-7</c:v>
                </c:pt>
                <c:pt idx="10">
                  <c:v>1.9444807526225813E-6</c:v>
                </c:pt>
                <c:pt idx="11">
                  <c:v>5.9256705939605551E-6</c:v>
                </c:pt>
                <c:pt idx="12">
                  <c:v>1.6531762164310174E-5</c:v>
                </c:pt>
                <c:pt idx="13">
                  <c:v>4.2518144161720798E-5</c:v>
                </c:pt>
                <c:pt idx="14">
                  <c:v>1.0140973514348278E-4</c:v>
                </c:pt>
                <c:pt idx="15">
                  <c:v>2.2545294740594702E-4</c:v>
                </c:pt>
                <c:pt idx="16">
                  <c:v>4.6928521117650858E-4</c:v>
                </c:pt>
                <c:pt idx="17">
                  <c:v>9.1816671751925581E-4</c:v>
                </c:pt>
                <c:pt idx="18">
                  <c:v>1.6943946188036527E-3</c:v>
                </c:pt>
                <c:pt idx="19">
                  <c:v>2.9584052497647183E-3</c:v>
                </c:pt>
                <c:pt idx="20">
                  <c:v>4.9006626093928635E-3</c:v>
                </c:pt>
                <c:pt idx="21">
                  <c:v>7.7213338421283041E-3</c:v>
                </c:pt>
                <c:pt idx="22">
                  <c:v>1.1597260316240155E-2</c:v>
                </c:pt>
                <c:pt idx="23">
                  <c:v>1.6639547410257607E-2</c:v>
                </c:pt>
                <c:pt idx="24">
                  <c:v>2.2849233581476888E-2</c:v>
                </c:pt>
                <c:pt idx="25">
                  <c:v>3.008151273248352E-2</c:v>
                </c:pt>
                <c:pt idx="26">
                  <c:v>3.8029470946082874E-2</c:v>
                </c:pt>
                <c:pt idx="27">
                  <c:v>4.6235508155060501E-2</c:v>
                </c:pt>
                <c:pt idx="28">
                  <c:v>5.4132877560427936E-2</c:v>
                </c:pt>
                <c:pt idx="29">
                  <c:v>6.1112528940033314E-2</c:v>
                </c:pt>
                <c:pt idx="30">
                  <c:v>6.6603799656384161E-2</c:v>
                </c:pt>
                <c:pt idx="31">
                  <c:v>7.0153511279024541E-2</c:v>
                </c:pt>
                <c:pt idx="32">
                  <c:v>7.1487953069658175E-2</c:v>
                </c:pt>
                <c:pt idx="33">
                  <c:v>7.0546082805235763E-2</c:v>
                </c:pt>
                <c:pt idx="34">
                  <c:v>6.7478861813703744E-2</c:v>
                </c:pt>
                <c:pt idx="35">
                  <c:v>6.2617030776194654E-2</c:v>
                </c:pt>
                <c:pt idx="36">
                  <c:v>5.6415827245218875E-2</c:v>
                </c:pt>
                <c:pt idx="37">
                  <c:v>4.9388708927953037E-2</c:v>
                </c:pt>
                <c:pt idx="38">
                  <c:v>4.2042562291072193E-2</c:v>
                </c:pt>
                <c:pt idx="39">
                  <c:v>3.4824552711557016E-2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BB-4FAF-AF12-78830DDA2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50"/>
        <c:axId val="590299720"/>
        <c:axId val="590306280"/>
      </c:barChart>
      <c:catAx>
        <c:axId val="590299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simulation!$H$6</c:f>
              <c:strCache>
                <c:ptCount val="1"/>
                <c:pt idx="0">
                  <c:v>No. doses anticipated per session</c:v>
                </c:pt>
              </c:strCache>
            </c:strRef>
          </c:tx>
          <c:layout>
            <c:manualLayout>
              <c:xMode val="edge"/>
              <c:yMode val="edge"/>
              <c:x val="0.67452542408322869"/>
              <c:y val="0.91657688235852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0306280"/>
        <c:crosses val="autoZero"/>
        <c:auto val="1"/>
        <c:lblAlgn val="ctr"/>
        <c:lblOffset val="100"/>
        <c:noMultiLvlLbl val="0"/>
      </c:catAx>
      <c:valAx>
        <c:axId val="590306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Probability</a:t>
                </a:r>
              </a:p>
            </c:rich>
          </c:tx>
          <c:layout>
            <c:manualLayout>
              <c:xMode val="edge"/>
              <c:yMode val="edge"/>
              <c:x val="1.0910664227929284E-2"/>
              <c:y val="0.412194890490258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0299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615083352911288E-2"/>
          <c:y val="0.93487316194821479"/>
          <c:w val="0.53161343511412829"/>
          <c:h val="5.260510063606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102054</xdr:colOff>
      <xdr:row>25</xdr:row>
      <xdr:rowOff>115678</xdr:rowOff>
    </xdr:from>
    <xdr:to>
      <xdr:col>15</xdr:col>
      <xdr:colOff>600076</xdr:colOff>
      <xdr:row>50</xdr:row>
      <xdr:rowOff>122613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E8632F-1754-46B3-A036-F011D032E6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106135</xdr:colOff>
      <xdr:row>1</xdr:row>
      <xdr:rowOff>17919</xdr:rowOff>
    </xdr:from>
    <xdr:to>
      <xdr:col>15</xdr:col>
      <xdr:colOff>610961</xdr:colOff>
      <xdr:row>25</xdr:row>
      <xdr:rowOff>73685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2C3543A2-9DE1-4D27-984F-1C4DDB0451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e20" displayName="Table20" ref="A9:I175" totalsRowShown="0" headerRowDxfId="13" dataDxfId="11" headerRowBorderDxfId="12" tableBorderDxfId="10" totalsRowBorderDxfId="9">
  <autoFilter ref="A9:I175" xr:uid="{00000000-000C-0000-FFFF-FFFF13000000}"/>
  <tableColumns count="9">
    <tableColumn id="1" xr3:uid="{00000000-0010-0000-1300-000001000000}" name="NN°" dataDxfId="8">
      <calculatedColumnFormula>ROW()-ROW(Table20[[#Headers],[NN°]])</calculatedColumnFormula>
    </tableColumn>
    <tableColumn id="2" xr3:uid="{00000000-0010-0000-1300-000002000000}" name="Worksheet" dataDxfId="7"/>
    <tableColumn id="3" xr3:uid="{00000000-0010-0000-1300-000003000000}" name="Translation" dataDxfId="6">
      <calculatedColumnFormula>HLOOKUP($D$1,$D$9:$I$175,$A10,FALSE)</calculatedColumnFormula>
    </tableColumn>
    <tableColumn id="4" xr3:uid="{00000000-0010-0000-1300-000004000000}" name="English" dataDxfId="5"/>
    <tableColumn id="5" xr3:uid="{00000000-0010-0000-1300-000005000000}" name="Français" dataDxfId="4"/>
    <tableColumn id="6" xr3:uid="{00000000-0010-0000-1300-000006000000}" name="Portuguese" dataDxfId="3"/>
    <tableColumn id="7" xr3:uid="{00000000-0010-0000-1300-000007000000}" name="Spanish" dataDxfId="2"/>
    <tableColumn id="8" xr3:uid="{00000000-0010-0000-1300-000008000000}" name="Russian" dataDxfId="1"/>
    <tableColumn id="9" xr3:uid="{00000000-0010-0000-1300-000009000000}" name="Other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BB6C-F181-48DA-9952-5ED9128B095F}">
  <sheetPr>
    <tabColor rgb="FF0000FF"/>
  </sheetPr>
  <dimension ref="A1:Q34"/>
  <sheetViews>
    <sheetView showGridLines="0" tabSelected="1" topLeftCell="A24" zoomScaleNormal="100" workbookViewId="0">
      <selection activeCell="C36" sqref="C36"/>
    </sheetView>
  </sheetViews>
  <sheetFormatPr defaultColWidth="8.84375" defaultRowHeight="12" x14ac:dyDescent="0.35"/>
  <cols>
    <col min="1" max="1" width="1.69140625" style="38" customWidth="1"/>
    <col min="2" max="2" width="33.69140625" style="38" customWidth="1"/>
    <col min="3" max="6" width="12.69140625" style="38" customWidth="1"/>
    <col min="7" max="7" width="7" style="38" bestFit="1" customWidth="1"/>
    <col min="8" max="16" width="8.69140625" style="38" customWidth="1"/>
    <col min="17" max="17" width="1.69140625" style="38" customWidth="1"/>
    <col min="18" max="16384" width="8.84375" style="38"/>
  </cols>
  <sheetData>
    <row r="1" spans="1:17" ht="18.45" x14ac:dyDescent="0.5">
      <c r="A1" s="15" t="str">
        <f>Translation!$C$103</f>
        <v>FACILITY MEAN SESSION SIZE &amp; VACCINE WASTAGE RATES</v>
      </c>
      <c r="B1" s="15"/>
      <c r="C1" s="1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s="40" customFormat="1" ht="10.75" x14ac:dyDescent="0.3"/>
    <row r="3" spans="1:17" s="45" customFormat="1" ht="18.45" x14ac:dyDescent="0.5">
      <c r="B3" s="60" t="str">
        <f>Translation!C104</f>
        <v>Service point:</v>
      </c>
      <c r="C3" s="123" t="s">
        <v>365</v>
      </c>
      <c r="D3" s="123"/>
      <c r="E3" s="60" t="str">
        <f>Translation!$C$12</f>
        <v>Language:</v>
      </c>
      <c r="F3" s="112" t="s">
        <v>10</v>
      </c>
    </row>
    <row r="4" spans="1:17" x14ac:dyDescent="0.35">
      <c r="B4" s="44"/>
      <c r="C4" s="44"/>
      <c r="D4" s="40"/>
    </row>
    <row r="5" spans="1:17" ht="18.45" x14ac:dyDescent="0.5">
      <c r="B5" s="59" t="str">
        <f>Translation!$C$106</f>
        <v>Annual target population</v>
      </c>
      <c r="C5" s="94">
        <v>217</v>
      </c>
      <c r="D5" s="60" t="str">
        <f>Translation!$C$105</f>
        <v>Vaccine:</v>
      </c>
      <c r="E5" s="124" t="s">
        <v>367</v>
      </c>
      <c r="F5" s="125"/>
    </row>
    <row r="6" spans="1:17" ht="14.6" x14ac:dyDescent="0.4">
      <c r="B6" s="59" t="str">
        <f>Translation!$C$107&amp;" ("&amp;Translation!$C$110&amp;")"</f>
        <v>No. of doses in the schedule (per target)</v>
      </c>
      <c r="C6" s="95">
        <v>4</v>
      </c>
      <c r="D6" s="110" t="str">
        <f>Translation!$C$124</f>
        <v>doses/vial</v>
      </c>
      <c r="E6" s="113">
        <v>2</v>
      </c>
      <c r="F6" s="113">
        <v>4</v>
      </c>
      <c r="H6" s="38" t="str">
        <f>Translation!$C$131</f>
        <v>No. doses anticipated per session</v>
      </c>
    </row>
    <row r="7" spans="1:17" ht="14.6" x14ac:dyDescent="0.4">
      <c r="B7" s="59" t="str">
        <f>Translation!C108</f>
        <v>Target coverage</v>
      </c>
      <c r="C7" s="108">
        <v>0.9</v>
      </c>
      <c r="D7" s="110" t="str">
        <f>Translation!$C$125</f>
        <v>$US/dose</v>
      </c>
      <c r="E7" s="113"/>
      <c r="F7" s="122"/>
    </row>
    <row r="8" spans="1:17" ht="14.6" x14ac:dyDescent="0.4">
      <c r="B8" s="59" t="str">
        <f>Translation!C109</f>
        <v>No. of weeks in year</v>
      </c>
      <c r="C8" s="109">
        <v>48</v>
      </c>
      <c r="D8" s="111" t="s">
        <v>175</v>
      </c>
      <c r="E8" s="98">
        <v>0</v>
      </c>
      <c r="F8" s="58"/>
    </row>
    <row r="9" spans="1:17" ht="14.6" x14ac:dyDescent="0.4">
      <c r="B9" s="59"/>
      <c r="C9" s="59"/>
      <c r="D9" s="59"/>
      <c r="E9" s="58"/>
      <c r="F9" s="58"/>
    </row>
    <row r="10" spans="1:17" ht="14.6" x14ac:dyDescent="0.4">
      <c r="B10" s="116" t="str">
        <f>Translation!$C$126</f>
        <v>Closed vial wastage per level</v>
      </c>
      <c r="C10" s="119">
        <v>0.01</v>
      </c>
      <c r="D10" s="59"/>
      <c r="E10" s="58"/>
      <c r="F10" s="58"/>
    </row>
    <row r="11" spans="1:17" ht="14.6" x14ac:dyDescent="0.4">
      <c r="B11" s="116" t="str">
        <f>Translation!$C$127</f>
        <v>Avoidable opened vial wastage</v>
      </c>
      <c r="C11" s="120">
        <v>0.03</v>
      </c>
      <c r="D11" s="59"/>
      <c r="E11" s="117" t="str">
        <f>Translation!$C$132</f>
        <v>Service level</v>
      </c>
      <c r="F11" s="118">
        <v>0.9</v>
      </c>
    </row>
    <row r="13" spans="1:17" ht="14.6" x14ac:dyDescent="0.4">
      <c r="B13" s="133" t="str">
        <f>$C$3&amp;" ("&amp;$D$13&amp;" &amp; "&amp;Translation!$C$102&amp;")"</f>
        <v>Public clinic (Frequency of sessions &amp; vaccine needs)</v>
      </c>
      <c r="C13" s="134"/>
      <c r="D13" s="126" t="str">
        <f>Translation!$C$120</f>
        <v>Frequency of sessions</v>
      </c>
      <c r="E13" s="127"/>
      <c r="F13" s="128"/>
    </row>
    <row r="14" spans="1:17" ht="12" customHeight="1" x14ac:dyDescent="0.35">
      <c r="B14" s="135"/>
      <c r="C14" s="136"/>
      <c r="D14" s="68" t="str">
        <f>D$15&amp;" "&amp;Translation!$C$119&amp;"/"&amp;Translation!$C$111</f>
        <v>5 days/week</v>
      </c>
      <c r="E14" s="68" t="str">
        <f>E$15&amp;" "&amp;Translation!$C$119&amp;"/"&amp;Translation!$C$111</f>
        <v>1 days/week</v>
      </c>
      <c r="F14" s="68" t="str">
        <f>F$15&amp;" "&amp;Translation!$C$119&amp;"/"&amp;Translation!$C$111</f>
        <v>0.5 days/week</v>
      </c>
    </row>
    <row r="15" spans="1:17" ht="12" customHeight="1" x14ac:dyDescent="0.35">
      <c r="B15" s="62"/>
      <c r="C15" s="68"/>
      <c r="D15" s="43">
        <v>5</v>
      </c>
      <c r="E15" s="42">
        <v>1</v>
      </c>
      <c r="F15" s="42">
        <v>0.5</v>
      </c>
    </row>
    <row r="16" spans="1:17" ht="12.9" x14ac:dyDescent="0.35">
      <c r="B16" s="63"/>
      <c r="C16" s="63" t="str">
        <f>Translation!$C$94</f>
        <v>Effective number of vaccination sessions of year</v>
      </c>
      <c r="D16" s="99">
        <f>IF(OR($E$6=1,mdvp=no),D$15*No._of_weeks_in_year,D$15*No._of_weeks_in_year/mdvp)*(1-calculus!$B$11)</f>
        <v>230.79567159925494</v>
      </c>
      <c r="E16" s="99">
        <f>IF(OR($E$6=1,mdvp=no),E$15*No._of_weeks_in_year,E$15*No._of_weeks_in_year/mdvp)*(1-calculus!$F$11)</f>
        <v>47.999996530539917</v>
      </c>
      <c r="F16" s="99">
        <f>IF(OR($E$6=1,mdvp=no),F$15*No._of_weeks_in_year,F$15*No._of_weeks_in_year/mdvp)*(1-calculus!$J$11)</f>
        <v>23.999999999999911</v>
      </c>
    </row>
    <row r="17" spans="2:6" ht="12.9" x14ac:dyDescent="0.35">
      <c r="B17" s="63"/>
      <c r="C17" s="63" t="str">
        <f>Translation!$C$95</f>
        <v>Mean session size</v>
      </c>
      <c r="D17" s="92">
        <f>(Annual_target_population*No._of_doses_in_the_schedule*Target_coverage)/D$16</f>
        <v>3.3848121786115937</v>
      </c>
      <c r="E17" s="92">
        <f>(Annual_target_population*No._of_doses_in_the_schedule*Target_coverage)/E$16</f>
        <v>16.275001176363894</v>
      </c>
      <c r="F17" s="92">
        <f>(Annual_target_population*No._of_doses_in_the_schedule*Target_coverage)/F$16</f>
        <v>32.550000000000125</v>
      </c>
    </row>
    <row r="18" spans="2:6" ht="12.9" x14ac:dyDescent="0.35">
      <c r="B18" s="114"/>
      <c r="C18" s="114" t="str">
        <f>Translation!$C$101</f>
        <v>Standard deviation of session size distribution</v>
      </c>
      <c r="D18" s="92">
        <f>SQRT(D$17*(1-1/D$16))</f>
        <v>1.8357958327487733</v>
      </c>
      <c r="E18" s="92">
        <f t="shared" ref="E18:F18" si="0">SQRT(E$17*(1-1/E$16))</f>
        <v>3.9919842969817316</v>
      </c>
      <c r="F18" s="92">
        <f t="shared" si="0"/>
        <v>5.5851365247413707</v>
      </c>
    </row>
    <row r="19" spans="2:6" ht="12.9" x14ac:dyDescent="0.35">
      <c r="B19" s="114"/>
      <c r="C19" s="114" t="str">
        <f>Translation!$C$98</f>
        <v>Standard deviation of monthly demand</v>
      </c>
      <c r="D19" s="92">
        <f>NORMSINV($F$11)*D$18</f>
        <v>2.352667023479444</v>
      </c>
      <c r="E19" s="92">
        <f>NORMSINV($F$11)*E$18</f>
        <v>5.1159337254263999</v>
      </c>
      <c r="F19" s="92">
        <f>NORMSINV($F$11)*F$18</f>
        <v>7.1576404570626337</v>
      </c>
    </row>
    <row r="20" spans="2:6" ht="12.9" x14ac:dyDescent="0.35">
      <c r="B20" s="64"/>
      <c r="C20" s="64" t="str">
        <f>Translation!$C$96</f>
        <v>Estimation of annual vaccine demand (doses)</v>
      </c>
      <c r="D20" s="105">
        <f>ROUNDUP(ROUNDUP(D$17/$E$6,0)*$E$6*D$16/(1-(1-(1-Closed_vial_wastage_per_level)*(1-Opened_vial_wastage)))/$E$6,0)*$E$6</f>
        <v>962</v>
      </c>
      <c r="E20" s="105">
        <f>ROUNDUP(ROUNDUP(E$17/$E$6,0)*$E$6*E$16/(1-(1-(1-Closed_vial_wastage_per_level)*(1-Opened_vial_wastage)))/$E$6,0)*$E$6</f>
        <v>900</v>
      </c>
      <c r="F20" s="105">
        <f>ROUNDUP(ROUNDUP(F$17/$E$6,0)*$E$6*F$16/(1-(1-(1-Closed_vial_wastage_per_level)*(1-Opened_vial_wastage)))/$E$6,0)*$E$6</f>
        <v>850</v>
      </c>
    </row>
    <row r="21" spans="2:6" ht="12.9" x14ac:dyDescent="0.35">
      <c r="B21" s="64"/>
      <c r="C21" s="64" t="str">
        <f>Translation!$C$97</f>
        <v>Safety stock for incertainty in demand (doses)</v>
      </c>
      <c r="D21" s="93">
        <f>ROUNDUP(ROUNDUP(D$19/$E$6,0)*$E$6*D$16/(1-(1-(1-Closed_vial_wastage_per_level)*(1-Opened_vial_wastage)))/D$16/$E$6,0)*$E$6</f>
        <v>6</v>
      </c>
      <c r="E21" s="93">
        <f>ROUNDUP(ROUNDUP(E$19/$E$6,0)*$E$6*E$16/(1-(1-(1-Closed_vial_wastage_per_level)*(1-Opened_vial_wastage)))/E$16/$E$6,0)*$E$6</f>
        <v>8</v>
      </c>
      <c r="F21" s="93">
        <f>ROUNDUP(ROUNDUP(F$19/$E$6,0)*$E$6*F$16/(1-(1-(1-Closed_vial_wastage_per_level)*(1-Opened_vial_wastage)))/F$16/$E$6,0)*$E$6</f>
        <v>10</v>
      </c>
    </row>
    <row r="22" spans="2:6" s="40" customFormat="1" ht="12.9" x14ac:dyDescent="0.35">
      <c r="B22" s="64"/>
      <c r="C22" s="64" t="str">
        <f>Translation!$C$99</f>
        <v>Total vaccine needs (doses)</v>
      </c>
      <c r="D22" s="93">
        <f>D20+D21</f>
        <v>968</v>
      </c>
      <c r="E22" s="93">
        <f t="shared" ref="E22:F22" si="1">E20+E21</f>
        <v>908</v>
      </c>
      <c r="F22" s="93">
        <f t="shared" si="1"/>
        <v>860</v>
      </c>
    </row>
    <row r="23" spans="2:6" s="40" customFormat="1" ht="12.9" x14ac:dyDescent="0.35">
      <c r="B23" s="65"/>
      <c r="C23" s="65" t="str">
        <f>Translation!$C$153</f>
        <v>Estimated vaccine cost ($US)</v>
      </c>
      <c r="D23" s="121">
        <f>D22*$E$7</f>
        <v>0</v>
      </c>
      <c r="E23" s="121">
        <f t="shared" ref="E23:F23" si="2">E22*$E$7</f>
        <v>0</v>
      </c>
      <c r="F23" s="121">
        <f t="shared" si="2"/>
        <v>0</v>
      </c>
    </row>
    <row r="24" spans="2:6" s="40" customFormat="1" x14ac:dyDescent="0.35">
      <c r="B24" s="38"/>
      <c r="C24" s="38"/>
      <c r="D24" s="38"/>
      <c r="E24" s="38"/>
      <c r="F24" s="38"/>
    </row>
    <row r="25" spans="2:6" x14ac:dyDescent="0.35">
      <c r="B25" s="115"/>
      <c r="C25" s="115"/>
      <c r="D25" s="115"/>
      <c r="E25" s="115"/>
      <c r="F25" s="115"/>
    </row>
    <row r="26" spans="2:6" ht="14.6" x14ac:dyDescent="0.4">
      <c r="B26" s="129" t="str">
        <f>Translation!$C$121</f>
        <v>Anticipated total wastage (close-vial &amp; open-vial)</v>
      </c>
      <c r="C26" s="130"/>
      <c r="D26" s="126" t="str">
        <f>D$13</f>
        <v>Frequency of sessions</v>
      </c>
      <c r="E26" s="127"/>
      <c r="F26" s="128"/>
    </row>
    <row r="27" spans="2:6" x14ac:dyDescent="0.35">
      <c r="B27" s="131"/>
      <c r="C27" s="132"/>
      <c r="D27" s="91" t="str">
        <f>D$14</f>
        <v>5 days/week</v>
      </c>
      <c r="E27" s="91" t="str">
        <f t="shared" ref="E27:F27" si="3">E$14</f>
        <v>1 days/week</v>
      </c>
      <c r="F27" s="91" t="str">
        <f t="shared" si="3"/>
        <v>0.5 days/week</v>
      </c>
    </row>
    <row r="28" spans="2:6" x14ac:dyDescent="0.35">
      <c r="B28" s="62" t="str">
        <f>Translation!$C$123</f>
        <v>Vial size</v>
      </c>
      <c r="C28" s="68" t="str">
        <f>Translation!$C$124</f>
        <v>doses/vial</v>
      </c>
      <c r="D28" s="61">
        <f>D$15</f>
        <v>5</v>
      </c>
      <c r="E28" s="61">
        <f t="shared" ref="E28:F28" si="4">E$15</f>
        <v>1</v>
      </c>
      <c r="F28" s="61">
        <f t="shared" si="4"/>
        <v>0.5</v>
      </c>
    </row>
    <row r="29" spans="2:6" ht="12.9" x14ac:dyDescent="0.35">
      <c r="B29" s="63" t="str">
        <f>$C29&amp;"-"&amp;Translation!$C$125</f>
        <v>2-$US/dose</v>
      </c>
      <c r="C29" s="66">
        <f>$E$6</f>
        <v>2</v>
      </c>
      <c r="D29" s="78">
        <f>1-(1-Closed_vial_wastage_per_level)*(1-Opened_vial_wastage)*(1-calculus!$C$8)</f>
        <v>0.18145319311897745</v>
      </c>
      <c r="E29" s="78">
        <f>1-(1-Closed_vial_wastage_per_level)*(1-Opened_vial_wastage)*(1-calculus!$G$8)</f>
        <v>6.9172120720651709E-2</v>
      </c>
      <c r="F29" s="78">
        <f>1-(1-Closed_vial_wastage_per_level)*(1-Opened_vial_wastage)*(1-calculus!$K$8)</f>
        <v>5.4436061381074152E-2</v>
      </c>
    </row>
    <row r="30" spans="2:6" ht="12.9" x14ac:dyDescent="0.35">
      <c r="B30" s="64" t="str">
        <f>$C30&amp;"-"&amp;Translation!$C$125</f>
        <v>4-$US/dose</v>
      </c>
      <c r="C30" s="67">
        <f>$F$6</f>
        <v>4</v>
      </c>
      <c r="D30" s="79">
        <f>1-(1-Closed_vial_wastage_per_level)*(1-Opened_vial_wastage)*(1-calculus!$D$8)</f>
        <v>0.35606761045372359</v>
      </c>
      <c r="E30" s="79">
        <f>1-(1-Closed_vial_wastage_per_level)*(1-Opened_vial_wastage)*(1-calculus!$H$8)</f>
        <v>0.12122134268748597</v>
      </c>
      <c r="F30" s="79">
        <f>1-(1-Closed_vial_wastage_per_level)*(1-Opened_vial_wastage)*(1-calculus!$L$8)</f>
        <v>8.2142944794109773E-2</v>
      </c>
    </row>
    <row r="34" spans="3:3" x14ac:dyDescent="0.35">
      <c r="C34" s="56"/>
    </row>
  </sheetData>
  <sheetProtection sheet="1" objects="1" scenarios="1"/>
  <mergeCells count="6">
    <mergeCell ref="C3:D3"/>
    <mergeCell ref="E5:F5"/>
    <mergeCell ref="D26:F26"/>
    <mergeCell ref="B26:C27"/>
    <mergeCell ref="B13:C14"/>
    <mergeCell ref="D13:F13"/>
  </mergeCells>
  <conditionalFormatting sqref="D29:F30">
    <cfRule type="expression" dxfId="47" priority="7">
      <formula>$C29=""</formula>
    </cfRule>
  </conditionalFormatting>
  <conditionalFormatting sqref="B29:B30">
    <cfRule type="expression" dxfId="46" priority="2">
      <formula>$C29=""</formula>
    </cfRule>
  </conditionalFormatting>
  <conditionalFormatting sqref="C29:C30">
    <cfRule type="expression" dxfId="45" priority="1">
      <formula>$C29=""</formula>
    </cfRule>
  </conditionalFormatting>
  <dataValidations xWindow="190" yWindow="474" count="15">
    <dataValidation type="whole" operator="greaterThan" allowBlank="1" showInputMessage="1" showErrorMessage="1" promptTitle="Target population:" prompt="For simulation enter a figure for the annual target population._x000a_Leave blank for using defult figure from the available list." sqref="C5" xr:uid="{BA5152C9-ED9C-415B-8BD3-D97179E752E3}">
      <formula1>0</formula1>
    </dataValidation>
    <dataValidation allowBlank="1" showInputMessage="1" showErrorMessage="1" promptTitle="Schedule:" prompt="For simulation, indicate number of doses per target in the schedule._x000a_Leave blank for using defult figure from the available list." sqref="C6" xr:uid="{EE1DC0BB-83F2-486A-AE93-E1CB368F02FC}"/>
    <dataValidation type="decimal" operator="lessThanOrEqual" allowBlank="1" showInputMessage="1" showErrorMessage="1" promptTitle="Coverage:" prompt="For simulation, indicate coverage rate anticipated._x000a_Leave blank for using defult figure from the available list." sqref="C7" xr:uid="{4FB939F4-FF8C-437A-9879-37254E17B3C4}">
      <formula1>1</formula1>
    </dataValidation>
    <dataValidation type="decimal" allowBlank="1" showInputMessage="1" showErrorMessage="1" promptTitle="Closed vial wastage:" prompt="Indicate the maximum closed vial wastage rate per supply chain level._x000a_EVM recommended limit is 1%." sqref="C10" xr:uid="{2BC2FBB3-5C18-4D7E-A5AC-C5C7AB95454C}">
      <formula1>0</formula1>
      <formula2>0.01</formula2>
    </dataValidation>
    <dataValidation type="decimal" allowBlank="1" showInputMessage="1" showErrorMessage="1" promptTitle="Avoidable open-vial wastage:" prompt="Indicate the avoidable opened vial wastage rate._x000a_WHO indicative figures are set at 1-5%." sqref="C11" xr:uid="{9E6D50C2-6939-4B7B-AAE8-1F4C8D69F950}">
      <formula1>0.01</formula1>
      <formula2>0.05</formula2>
    </dataValidation>
    <dataValidation type="decimal" operator="lessThanOrEqual" allowBlank="1" showInputMessage="1" showErrorMessage="1" promptTitle="Session frequency:" prompt="Enter different frequencies of the vaccination sessions for the simulation." sqref="D15:F15" xr:uid="{81CE8954-6062-4341-A99B-2F0794B8213A}">
      <formula1>7</formula1>
    </dataValidation>
    <dataValidation type="whole" operator="greaterThan" allowBlank="1" showInputMessage="1" promptTitle="Vial size:" prompt="To overwrite the existing vial size (dose/vial), select another vial size for analysis. Otherwise leave blank." sqref="E6:F6" xr:uid="{4A222266-9DFD-4BD0-BA6A-F46D27B50995}">
      <formula1>0</formula1>
    </dataValidation>
    <dataValidation type="whole" allowBlank="1" showInputMessage="1" showErrorMessage="1" sqref="C8" xr:uid="{4C7F0B9E-518B-4268-99D7-DC1A0087F7CF}">
      <formula1>1</formula1>
      <formula2>52</formula2>
    </dataValidation>
    <dataValidation type="decimal" allowBlank="1" showInputMessage="1" showErrorMessage="1" sqref="D25" xr:uid="{ED4C27A8-EA06-42E7-B5C3-235C7D26390E}">
      <formula1>0.01</formula1>
      <formula2>0.05</formula2>
    </dataValidation>
    <dataValidation allowBlank="1" showInputMessage="1" showErrorMessage="1" promptTitle="Service point:" prompt="Enter the name of service point." sqref="C3" xr:uid="{913F6639-4CA4-4FF8-B192-F1FF193F8B1E}"/>
    <dataValidation type="list" allowBlank="1" showInputMessage="1" showErrorMessage="1" promptTitle="MDVP:" prompt="To overwrite the existing MDVP status, select the number of days reuse of opened vials as per the multidose vial policy. Otherwise leave blank." sqref="E8" xr:uid="{00000000-0002-0000-0300-000003000000}">
      <formula1>mdvp_vax</formula1>
    </dataValidation>
    <dataValidation allowBlank="1" showInputMessage="1" showErrorMessage="1" promptTitle="Vaccine:" prompt="Enter a vaccine for analyse." sqref="E5" xr:uid="{A1FE5BC1-6B33-4243-A617-1CE9A4FD5084}"/>
    <dataValidation type="list" allowBlank="1" showInputMessage="1" showErrorMessage="1" sqref="F3" xr:uid="{00000000-0002-0000-0000-000000000000}">
      <formula1>Langues</formula1>
    </dataValidation>
    <dataValidation type="decimal" allowBlank="1" showInputMessage="1" showErrorMessage="1" promptTitle="Service level:" prompt="Indicate a service level, between 90% and 99%." sqref="F11" xr:uid="{4C945872-FBC4-4095-95EA-49F22FC01614}">
      <formula1>0.9</formula1>
      <formula2>0.99</formula2>
    </dataValidation>
    <dataValidation type="decimal" operator="greaterThanOrEqual" allowBlank="1" showInputMessage="1" promptTitle="Vaccine price:" prompt="Please enter the price of the vaccine, if available. Otherwise leave blank." sqref="E7:F7" xr:uid="{B591582F-6609-43D9-A83D-FFDC466BF9A8}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97DBB-C0E4-4105-9E99-A51158C1B7D7}">
  <dimension ref="A1:M111"/>
  <sheetViews>
    <sheetView showGridLines="0" zoomScaleNormal="100" workbookViewId="0">
      <pane xSplit="1" ySplit="10" topLeftCell="B11" activePane="bottomRight" state="frozen"/>
      <selection activeCell="E3" sqref="E3"/>
      <selection pane="topRight" activeCell="E3" sqref="E3"/>
      <selection pane="bottomLeft" activeCell="E3" sqref="E3"/>
      <selection pane="bottomRight" activeCell="B11" sqref="B11"/>
    </sheetView>
  </sheetViews>
  <sheetFormatPr defaultColWidth="8.84375" defaultRowHeight="12" x14ac:dyDescent="0.35"/>
  <cols>
    <col min="1" max="1" width="22.84375" style="38" customWidth="1"/>
    <col min="2" max="2" width="11.15234375" style="38" customWidth="1"/>
    <col min="3" max="4" width="11.84375" style="38" customWidth="1"/>
    <col min="5" max="5" width="1.84375" style="38" customWidth="1"/>
    <col min="6" max="6" width="11.15234375" style="38" customWidth="1"/>
    <col min="7" max="8" width="11.84375" style="38" customWidth="1"/>
    <col min="9" max="9" width="1.84375" style="38" customWidth="1"/>
    <col min="10" max="10" width="11.3828125" style="38" customWidth="1"/>
    <col min="11" max="12" width="11.84375" style="38" customWidth="1"/>
    <col min="13" max="13" width="1.84375" style="38" customWidth="1"/>
    <col min="14" max="16384" width="8.84375" style="38"/>
  </cols>
  <sheetData>
    <row r="1" spans="1:13" s="57" customFormat="1" ht="20.6" x14ac:dyDescent="0.55000000000000004">
      <c r="A1" s="47" t="str">
        <f>Translation!C129</f>
        <v>WHO Indicative Wastage Rates - estimations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</row>
    <row r="2" spans="1:13" s="40" customFormat="1" x14ac:dyDescent="0.35">
      <c r="B2" s="56" t="s">
        <v>322</v>
      </c>
      <c r="C2" s="106">
        <f>IF(mdvp=0,$B$10*No._of_weeks_in_year,$B$10*No._of_weeks_in_year/mdvp)*(1-$B11)</f>
        <v>230.79567159925494</v>
      </c>
      <c r="D2" s="106">
        <f>IF(mdvp=0,$B$10*No._of_weeks_in_year,$B$10*No._of_weeks_in_year/mdvp)*(1-$B11)</f>
        <v>230.79567159925494</v>
      </c>
      <c r="E2" s="38"/>
      <c r="F2" s="38"/>
      <c r="G2" s="106">
        <f>IF(mdvp=0,$F$10*No._of_weeks_in_year,$F$10*No._of_weeks_in_year/mdvp)*(1-$F11)</f>
        <v>47.999996530539917</v>
      </c>
      <c r="H2" s="106">
        <f>IF(mdvp=0,$F$10*No._of_weeks_in_year,$F$10*No._of_weeks_in_year/mdvp)*(1-$F11)</f>
        <v>47.999996530539917</v>
      </c>
      <c r="I2" s="38"/>
      <c r="J2" s="38"/>
      <c r="K2" s="106">
        <f>IF(mdvp=0,$J$10*No._of_weeks_in_year,$J$10*No._of_weeks_in_year/mdvp)*(1-$J11)</f>
        <v>23.999999999999911</v>
      </c>
      <c r="L2" s="106">
        <f>IF(mdvp=0,$J$10*No._of_weeks_in_year,$J$10*No._of_weeks_in_year/mdvp)*(1-$J11)</f>
        <v>23.999999999999911</v>
      </c>
      <c r="M2" s="38"/>
    </row>
    <row r="3" spans="1:13" x14ac:dyDescent="0.35">
      <c r="B3" s="96">
        <f>Annual_target_population*No._of_doses_in_the_schedule*Target_coverage/C$2</f>
        <v>3.3848121786115937</v>
      </c>
      <c r="C3" s="96">
        <f>Annual_target_population*No._of_doses_in_the_schedule*Target_coverage/C$2</f>
        <v>3.3848121786115937</v>
      </c>
      <c r="D3" s="96">
        <f>Annual_target_population*No._of_doses_in_the_schedule*Target_coverage/D$2</f>
        <v>3.3848121786115937</v>
      </c>
      <c r="F3" s="96">
        <f>Annual_target_population*No._of_doses_in_the_schedule*Target_coverage/G$2</f>
        <v>16.275001176363894</v>
      </c>
      <c r="G3" s="96">
        <f>Annual_target_population*No._of_doses_in_the_schedule*Target_coverage/G$2</f>
        <v>16.275001176363894</v>
      </c>
      <c r="H3" s="96">
        <f>Annual_target_population*No._of_doses_in_the_schedule*Target_coverage/H$2</f>
        <v>16.275001176363894</v>
      </c>
      <c r="J3" s="96">
        <f>Annual_target_population*No._of_doses_in_the_schedule*Target_coverage/K$2</f>
        <v>32.550000000000125</v>
      </c>
      <c r="K3" s="96">
        <f>Annual_target_population*No._of_doses_in_the_schedule*Target_coverage/K$2</f>
        <v>32.550000000000125</v>
      </c>
      <c r="L3" s="96">
        <f>Annual_target_population*No._of_doses_in_the_schedule*Target_coverage/L$2</f>
        <v>32.550000000000125</v>
      </c>
    </row>
    <row r="4" spans="1:13" x14ac:dyDescent="0.35">
      <c r="B4" s="56" t="s">
        <v>178</v>
      </c>
      <c r="C4" s="107">
        <f>IFERROR(ROUNDUP(C$3/C$10,0)*C$2,"")</f>
        <v>461.59134319850989</v>
      </c>
      <c r="D4" s="107">
        <f t="shared" ref="D4" si="0">IFERROR(ROUNDUP(D$3/D$10,0)*D$2,"")</f>
        <v>230.79567159925494</v>
      </c>
      <c r="G4" s="107">
        <f>IFERROR(ROUNDUP(G$3/G$10,0)*G$2,"")</f>
        <v>431.99996877485927</v>
      </c>
      <c r="H4" s="107">
        <f t="shared" ref="H4" si="1">IFERROR(ROUNDUP(H$3/H$10,0)*H$2,"")</f>
        <v>239.9999826526996</v>
      </c>
      <c r="K4" s="107">
        <f>IFERROR(ROUNDUP(K$3/K$10,0)*K$2,"")</f>
        <v>407.99999999999847</v>
      </c>
      <c r="L4" s="107">
        <f t="shared" ref="L4" si="2">IFERROR(ROUNDUP(L$3/L$10,0)*L$2,"")</f>
        <v>215.9999999999992</v>
      </c>
    </row>
    <row r="5" spans="1:13" x14ac:dyDescent="0.35">
      <c r="B5" s="56" t="s">
        <v>308</v>
      </c>
      <c r="C5" s="107">
        <f>C4*C10</f>
        <v>923.18268639701978</v>
      </c>
      <c r="D5" s="107">
        <f t="shared" ref="D5" si="3">D4*D10</f>
        <v>923.18268639701978</v>
      </c>
      <c r="G5" s="107">
        <f>G4*G10</f>
        <v>863.99993754971854</v>
      </c>
      <c r="H5" s="107">
        <f t="shared" ref="H5" si="4">H4*H10</f>
        <v>959.9999306107984</v>
      </c>
      <c r="K5" s="107">
        <f>K4*K10</f>
        <v>815.99999999999693</v>
      </c>
      <c r="L5" s="107">
        <f t="shared" ref="L5" si="5">L4*L10</f>
        <v>863.99999999999682</v>
      </c>
    </row>
    <row r="6" spans="1:13" ht="14.6" x14ac:dyDescent="0.4">
      <c r="A6" s="45"/>
      <c r="B6" s="56" t="s">
        <v>307</v>
      </c>
      <c r="C6" s="58">
        <f>Annual_target_population*No._of_doses_in_the_schedule*Target_coverage/(1-C8)</f>
        <v>916.48559825002303</v>
      </c>
      <c r="D6" s="58">
        <f>Annual_target_population*No._of_doses_in_the_schedule*Target_coverage/(1-D8)</f>
        <v>1165.0079607403993</v>
      </c>
      <c r="G6" s="58">
        <f>Annual_target_population*No._of_doses_in_the_schedule*Target_coverage/(1-G8)</f>
        <v>805.9345628762195</v>
      </c>
      <c r="H6" s="58">
        <f>Annual_target_population*No._of_doses_in_the_schedule*Target_coverage/(1-H8)</f>
        <v>853.66929858563503</v>
      </c>
      <c r="K6" s="58">
        <f>Annual_target_population*No._of_doses_in_the_schedule*Target_coverage/(1-K8)</f>
        <v>793.37454545454545</v>
      </c>
      <c r="L6" s="58">
        <f>Annual_target_population*No._of_doses_in_the_schedule*Target_coverage/(1-L8)</f>
        <v>817.32373875115115</v>
      </c>
    </row>
    <row r="7" spans="1:13" x14ac:dyDescent="0.35">
      <c r="A7" s="139" t="str">
        <f>Translation!C130</f>
        <v>Binomial distribution of doses administered per session</v>
      </c>
      <c r="B7" s="140"/>
      <c r="C7" s="54" t="str">
        <f>Translation!$C$122&amp;" ("&amp;mdvp&amp;IF(mdvp=no," "&amp;Translation!$C$113&amp;")"," "&amp;Translation!$C$111&amp;" "&amp;Translation!$C$113&amp;")")</f>
        <v>Anticipated opened vial wastage (0 reuse)</v>
      </c>
      <c r="D7" s="54"/>
      <c r="F7" s="143"/>
      <c r="G7" s="54" t="str">
        <f>C7</f>
        <v>Anticipated opened vial wastage (0 reuse)</v>
      </c>
      <c r="H7" s="54"/>
      <c r="J7" s="143"/>
      <c r="K7" s="55" t="str">
        <f>C7</f>
        <v>Anticipated opened vial wastage (0 reuse)</v>
      </c>
      <c r="L7" s="54"/>
    </row>
    <row r="8" spans="1:13" x14ac:dyDescent="0.35">
      <c r="A8" s="141"/>
      <c r="B8" s="142"/>
      <c r="C8" s="53">
        <f>SUMPRODUCT($B$12:$B$100,C$12:C$100)/SUM($B$12:$B$100)</f>
        <v>0.14761344696342543</v>
      </c>
      <c r="D8" s="53">
        <f>SUMPRODUCT($B$12:$B$100,D$12:D$100)/SUM($B$12:$B$100)</f>
        <v>0.32944664214695774</v>
      </c>
      <c r="F8" s="144"/>
      <c r="G8" s="53">
        <f>SUMPRODUCT($F$12:$F$100,G$12:G$100)/SUM($F$12:$F$100)</f>
        <v>3.0690534958504285E-2</v>
      </c>
      <c r="H8" s="53">
        <f>SUMPRODUCT($F$12:$F$100,H$12:H$100)/SUM($F$12:$F$100)</f>
        <v>8.4891536694247538E-2</v>
      </c>
      <c r="J8" s="144"/>
      <c r="K8" s="53">
        <f>SUMPRODUCT($J$12:$J$100,K$12:K$100)/SUM($J$12:$J$100)</f>
        <v>1.5345268542199433E-2</v>
      </c>
      <c r="L8" s="53">
        <f>SUMPRODUCT($J$12:$J$100,L$12:L$100)/SUM($J$12:$J$100)</f>
        <v>4.4197589080609903E-2</v>
      </c>
    </row>
    <row r="9" spans="1:13" x14ac:dyDescent="0.35">
      <c r="A9" s="137" t="str">
        <f>Translation!$C$131</f>
        <v>No. doses anticipated per session</v>
      </c>
      <c r="B9" s="77" t="str">
        <f>B$10&amp;" "&amp;Translation!$C$119&amp;"/"&amp;Translation!$C$111</f>
        <v>5 days/week</v>
      </c>
      <c r="C9" s="52" t="str">
        <f>C$10&amp;"-"&amp;Translation!$C$125</f>
        <v>2-$US/dose</v>
      </c>
      <c r="D9" s="52" t="str">
        <f>D$10&amp;"-"&amp;Translation!$C$125</f>
        <v>4-$US/dose</v>
      </c>
      <c r="F9" s="77" t="str">
        <f>F$10&amp;" "&amp;Translation!$C$119&amp;"/"&amp;Translation!$C$111</f>
        <v>1 days/week</v>
      </c>
      <c r="G9" s="52" t="str">
        <f>C9</f>
        <v>2-$US/dose</v>
      </c>
      <c r="H9" s="52" t="str">
        <f>D9</f>
        <v>4-$US/dose</v>
      </c>
      <c r="J9" s="77" t="str">
        <f>J$10&amp;" "&amp;Translation!$C$119&amp;"/"&amp;Translation!$C$111</f>
        <v>0.5 days/week</v>
      </c>
      <c r="K9" s="52" t="str">
        <f>C9</f>
        <v>2-$US/dose</v>
      </c>
      <c r="L9" s="52" t="str">
        <f>D9</f>
        <v>4-$US/dose</v>
      </c>
    </row>
    <row r="10" spans="1:13" ht="15" customHeight="1" x14ac:dyDescent="0.35">
      <c r="A10" s="138"/>
      <c r="B10" s="51">
        <f>simulation!$D$15</f>
        <v>5</v>
      </c>
      <c r="C10" s="49">
        <f>simulation!$C$29</f>
        <v>2</v>
      </c>
      <c r="D10" s="49">
        <f>simulation!$C$30</f>
        <v>4</v>
      </c>
      <c r="F10" s="50">
        <f>simulation!$E$15</f>
        <v>1</v>
      </c>
      <c r="G10" s="49">
        <f>C10</f>
        <v>2</v>
      </c>
      <c r="H10" s="49">
        <f>D10</f>
        <v>4</v>
      </c>
      <c r="J10" s="50">
        <f>simulation!$F$15</f>
        <v>0.5</v>
      </c>
      <c r="K10" s="49">
        <f>C10</f>
        <v>2</v>
      </c>
      <c r="L10" s="49">
        <f>D10</f>
        <v>4</v>
      </c>
    </row>
    <row r="11" spans="1:13" x14ac:dyDescent="0.35">
      <c r="A11" s="41">
        <v>0</v>
      </c>
      <c r="B11" s="48">
        <f t="shared" ref="B11:B42" si="6">IF($A11&gt;Annual_target_population,0,IF(mdvp=no,_xlfn.BINOM.DIST($A11,Annual_target_population*No._of_doses_in_the_schedule*Target_coverage,1/(No._of_weeks_in_year*B$10),FALSE),_xlfn.BINOM.DIST($A11,Annual_target_population*No._of_doses_in_the_schedule*Target_coverage,mdvp/(No._of_weeks_in_year*B$10),FALSE)))</f>
        <v>3.8351368336437729E-2</v>
      </c>
      <c r="C11" s="48">
        <f>IFERROR(IF(MOD($A11,C$10)=0,0,(C$10-MOD($A11,C$10))/(ROUNDUP($A11/C$10,0)*C$10)),"")</f>
        <v>0</v>
      </c>
      <c r="D11" s="48">
        <f t="shared" ref="D11:D26" si="7">IFERROR(IF(MOD($A11,D$10)=0,0,(D$10-MOD($A11,D$10))/(ROUNDUP($A11/D$10,0)*D$10)),"")</f>
        <v>0</v>
      </c>
      <c r="F11" s="48">
        <f t="shared" ref="F11:F42" si="8">IF($A11&gt;Annual_target_population,0,IF(mdvp=no,_xlfn.BINOM.DIST($A11,Annual_target_population*No._of_doses_in_the_schedule*Target_coverage,1/(No._of_weeks_in_year*F$10),FALSE),_xlfn.BINOM.DIST($A11,Annual_target_population*No._of_doses_in_the_schedule*Target_coverage,mdvp/(No._of_weeks_in_year*F$10),FALSE)))</f>
        <v>7.2280418337274203E-8</v>
      </c>
      <c r="G11" s="48">
        <f>IFERROR(IF(MOD($A11,G$10)=0,0,(G$10-MOD($A11,G$10))/(ROUNDUP($A11/G$10,0)*G$10)),"")</f>
        <v>0</v>
      </c>
      <c r="H11" s="48">
        <f t="shared" ref="H11:H26" si="9">IFERROR(IF(MOD($A11,H$10)=0,0,(H$10-MOD($A11,H$10))/(ROUNDUP($A11/H$10,0)*H$10)),"")</f>
        <v>0</v>
      </c>
      <c r="J11" s="48">
        <f t="shared" ref="J11:J42" si="10">IF($A11&gt;Annual_target_population,0,IF(mdvp=no,_xlfn.BINOM.DIST($A11,Annual_target_population*No._of_doses_in_the_schedule*Target_coverage,1/(No._of_weeks_in_year*J$10),FALSE),_xlfn.BINOM.DIST($A11,Annual_target_population*No._of_doses_in_the_schedule*Target_coverage,mdvp/(No._of_weeks_in_year*J$10),FALSE)))</f>
        <v>3.6682603618144125E-15</v>
      </c>
      <c r="K11" s="48">
        <f>IFERROR(IF(MOD($A11,K$10)=0,0,(K$10-MOD($A11,K$10))/(ROUNDUP($A11/K$10,0)*K$10)),"")</f>
        <v>0</v>
      </c>
      <c r="L11" s="48">
        <f t="shared" ref="L11:L26" si="11">IFERROR(IF(MOD($A11,L$10)=0,0,(L$10-MOD($A11,L$10))/(ROUNDUP($A11/L$10,0)*L$10)),"")</f>
        <v>0</v>
      </c>
    </row>
    <row r="12" spans="1:13" x14ac:dyDescent="0.35">
      <c r="A12" s="39">
        <f t="shared" ref="A12:A75" si="12">A11+1</f>
        <v>1</v>
      </c>
      <c r="B12" s="48">
        <f t="shared" si="6"/>
        <v>0.12532392749271073</v>
      </c>
      <c r="C12" s="48">
        <f t="shared" ref="C12:D43" si="13">IFERROR(IF(MOD($A12,C$10)=0,0,(C$10-MOD($A12,C$10))/(ROUNDUP($A12/C$10,0)*C$10)),"")</f>
        <v>0.5</v>
      </c>
      <c r="D12" s="48">
        <f t="shared" si="7"/>
        <v>0.75</v>
      </c>
      <c r="F12" s="48">
        <f t="shared" si="8"/>
        <v>1.2010852493917277E-6</v>
      </c>
      <c r="G12" s="48">
        <f t="shared" ref="G12:H43" si="14">IFERROR(IF(MOD($A12,G$10)=0,0,(G$10-MOD($A12,G$10))/(ROUNDUP($A12/G$10,0)*G$10)),"")</f>
        <v>0.5</v>
      </c>
      <c r="H12" s="48">
        <f t="shared" si="9"/>
        <v>0.75</v>
      </c>
      <c r="J12" s="48">
        <f t="shared" si="10"/>
        <v>1.2456136272074202E-13</v>
      </c>
      <c r="K12" s="48">
        <f t="shared" ref="K12:L43" si="15">IFERROR(IF(MOD($A12,K$10)=0,0,(K$10-MOD($A12,K$10))/(ROUNDUP($A12/K$10,0)*K$10)),"")</f>
        <v>0.5</v>
      </c>
      <c r="L12" s="48">
        <f t="shared" si="11"/>
        <v>0.75</v>
      </c>
    </row>
    <row r="13" spans="1:13" x14ac:dyDescent="0.35">
      <c r="A13" s="39">
        <f t="shared" si="12"/>
        <v>2</v>
      </c>
      <c r="B13" s="48">
        <f t="shared" si="6"/>
        <v>0.20450348000902588</v>
      </c>
      <c r="C13" s="48">
        <f t="shared" si="13"/>
        <v>0</v>
      </c>
      <c r="D13" s="48">
        <f t="shared" si="7"/>
        <v>0.5</v>
      </c>
      <c r="F13" s="48">
        <f t="shared" si="8"/>
        <v>9.9664520694207017E-6</v>
      </c>
      <c r="G13" s="48">
        <f t="shared" si="14"/>
        <v>0</v>
      </c>
      <c r="H13" s="48">
        <f t="shared" si="9"/>
        <v>0.5</v>
      </c>
      <c r="J13" s="48">
        <f t="shared" si="10"/>
        <v>2.1121274548299782E-12</v>
      </c>
      <c r="K13" s="48">
        <f t="shared" si="15"/>
        <v>0</v>
      </c>
      <c r="L13" s="48">
        <f t="shared" si="11"/>
        <v>0.5</v>
      </c>
    </row>
    <row r="14" spans="1:13" x14ac:dyDescent="0.35">
      <c r="A14" s="39">
        <f t="shared" si="12"/>
        <v>3</v>
      </c>
      <c r="B14" s="48">
        <f t="shared" si="6"/>
        <v>0.22218718399864873</v>
      </c>
      <c r="C14" s="48">
        <f t="shared" si="13"/>
        <v>0.25</v>
      </c>
      <c r="D14" s="48">
        <f t="shared" si="7"/>
        <v>0.25</v>
      </c>
      <c r="F14" s="48">
        <f t="shared" si="8"/>
        <v>5.5062880582118795E-5</v>
      </c>
      <c r="G14" s="48">
        <f t="shared" si="14"/>
        <v>0.25</v>
      </c>
      <c r="H14" s="48">
        <f t="shared" si="9"/>
        <v>0.25</v>
      </c>
      <c r="J14" s="48">
        <f t="shared" si="10"/>
        <v>2.3845612859602138E-11</v>
      </c>
      <c r="K14" s="48">
        <f t="shared" si="15"/>
        <v>0.25</v>
      </c>
      <c r="L14" s="48">
        <f t="shared" si="11"/>
        <v>0.25</v>
      </c>
    </row>
    <row r="15" spans="1:13" x14ac:dyDescent="0.35">
      <c r="A15" s="39">
        <f t="shared" si="12"/>
        <v>4</v>
      </c>
      <c r="B15" s="48">
        <f t="shared" si="6"/>
        <v>0.18081760371438146</v>
      </c>
      <c r="C15" s="48">
        <f t="shared" si="13"/>
        <v>0</v>
      </c>
      <c r="D15" s="48">
        <f t="shared" si="7"/>
        <v>0</v>
      </c>
      <c r="F15" s="48">
        <f t="shared" si="8"/>
        <v>2.2786660155791694E-4</v>
      </c>
      <c r="G15" s="48">
        <f t="shared" si="14"/>
        <v>0</v>
      </c>
      <c r="H15" s="48">
        <f t="shared" si="9"/>
        <v>0</v>
      </c>
      <c r="J15" s="48">
        <f t="shared" si="10"/>
        <v>2.0165094353011266E-10</v>
      </c>
      <c r="K15" s="48">
        <f t="shared" si="15"/>
        <v>0</v>
      </c>
      <c r="L15" s="48">
        <f t="shared" si="11"/>
        <v>0</v>
      </c>
    </row>
    <row r="16" spans="1:13" x14ac:dyDescent="0.35">
      <c r="A16" s="39">
        <f t="shared" si="12"/>
        <v>5</v>
      </c>
      <c r="B16" s="48">
        <f t="shared" si="6"/>
        <v>0.11756927036491581</v>
      </c>
      <c r="C16" s="48">
        <f t="shared" si="13"/>
        <v>0.16666666666666666</v>
      </c>
      <c r="D16" s="48">
        <f t="shared" si="7"/>
        <v>0.375</v>
      </c>
      <c r="F16" s="48">
        <f t="shared" si="8"/>
        <v>7.5341425281064513E-4</v>
      </c>
      <c r="G16" s="48">
        <f t="shared" si="14"/>
        <v>0.16666666666666666</v>
      </c>
      <c r="H16" s="48">
        <f t="shared" si="9"/>
        <v>0.375</v>
      </c>
      <c r="J16" s="48">
        <f t="shared" si="10"/>
        <v>1.3624589836773841E-9</v>
      </c>
      <c r="K16" s="48">
        <f t="shared" si="15"/>
        <v>0.16666666666666666</v>
      </c>
      <c r="L16" s="48">
        <f t="shared" si="11"/>
        <v>0.375</v>
      </c>
    </row>
    <row r="17" spans="1:12" x14ac:dyDescent="0.35">
      <c r="A17" s="39">
        <f t="shared" si="12"/>
        <v>6</v>
      </c>
      <c r="B17" s="48">
        <f t="shared" si="6"/>
        <v>6.362186457683032E-2</v>
      </c>
      <c r="C17" s="48">
        <f t="shared" si="13"/>
        <v>0</v>
      </c>
      <c r="D17" s="48">
        <f t="shared" si="7"/>
        <v>0.25</v>
      </c>
      <c r="F17" s="48">
        <f t="shared" si="8"/>
        <v>2.0732250361030491E-3</v>
      </c>
      <c r="G17" s="48">
        <f t="shared" si="14"/>
        <v>0</v>
      </c>
      <c r="H17" s="48">
        <f t="shared" si="9"/>
        <v>0.25</v>
      </c>
      <c r="J17" s="48">
        <f t="shared" si="10"/>
        <v>7.6613635603887292E-9</v>
      </c>
      <c r="K17" s="48">
        <f t="shared" si="15"/>
        <v>0</v>
      </c>
      <c r="L17" s="48">
        <f t="shared" si="11"/>
        <v>0.25</v>
      </c>
    </row>
    <row r="18" spans="1:12" x14ac:dyDescent="0.35">
      <c r="A18" s="39">
        <f t="shared" si="12"/>
        <v>7</v>
      </c>
      <c r="B18" s="48">
        <f t="shared" si="6"/>
        <v>2.9472172771693655E-2</v>
      </c>
      <c r="C18" s="48">
        <f t="shared" si="13"/>
        <v>0.125</v>
      </c>
      <c r="D18" s="48">
        <f t="shared" si="7"/>
        <v>0.125</v>
      </c>
      <c r="F18" s="48">
        <f t="shared" si="8"/>
        <v>4.8837367871728361E-3</v>
      </c>
      <c r="G18" s="48">
        <f t="shared" si="14"/>
        <v>0.125</v>
      </c>
      <c r="H18" s="48">
        <f t="shared" si="9"/>
        <v>0.125</v>
      </c>
      <c r="J18" s="48">
        <f t="shared" si="10"/>
        <v>3.6879234529821528E-8</v>
      </c>
      <c r="K18" s="48">
        <f t="shared" si="15"/>
        <v>0.125</v>
      </c>
      <c r="L18" s="48">
        <f t="shared" si="11"/>
        <v>0.125</v>
      </c>
    </row>
    <row r="19" spans="1:12" x14ac:dyDescent="0.35">
      <c r="A19" s="39">
        <f t="shared" si="12"/>
        <v>8</v>
      </c>
      <c r="B19" s="48">
        <f t="shared" si="6"/>
        <v>1.1930680818666776E-2</v>
      </c>
      <c r="C19" s="48">
        <f t="shared" si="13"/>
        <v>0</v>
      </c>
      <c r="D19" s="48">
        <f t="shared" si="7"/>
        <v>0</v>
      </c>
      <c r="F19" s="48">
        <f t="shared" si="8"/>
        <v>1.0053224131041956E-2</v>
      </c>
      <c r="G19" s="48">
        <f t="shared" si="14"/>
        <v>0</v>
      </c>
      <c r="H19" s="48">
        <f t="shared" si="9"/>
        <v>0</v>
      </c>
      <c r="J19" s="48">
        <f t="shared" si="10"/>
        <v>1.55133301772184E-7</v>
      </c>
      <c r="K19" s="48">
        <f t="shared" si="15"/>
        <v>0</v>
      </c>
      <c r="L19" s="48">
        <f t="shared" si="11"/>
        <v>0</v>
      </c>
    </row>
    <row r="20" spans="1:12" x14ac:dyDescent="0.35">
      <c r="A20" s="39">
        <f t="shared" si="12"/>
        <v>9</v>
      </c>
      <c r="B20" s="48">
        <f t="shared" si="6"/>
        <v>4.2875017539885764E-3</v>
      </c>
      <c r="C20" s="48">
        <f t="shared" si="13"/>
        <v>0.1</v>
      </c>
      <c r="D20" s="48">
        <f t="shared" si="7"/>
        <v>0.25</v>
      </c>
      <c r="F20" s="48">
        <f t="shared" si="8"/>
        <v>1.8371494688641691E-2</v>
      </c>
      <c r="G20" s="48">
        <f t="shared" si="14"/>
        <v>0.1</v>
      </c>
      <c r="H20" s="48">
        <f t="shared" si="9"/>
        <v>0.25</v>
      </c>
      <c r="J20" s="48">
        <f t="shared" si="10"/>
        <v>5.7931421386424275E-7</v>
      </c>
      <c r="K20" s="48">
        <f t="shared" si="15"/>
        <v>0.1</v>
      </c>
      <c r="L20" s="48">
        <f t="shared" si="11"/>
        <v>0.25</v>
      </c>
    </row>
    <row r="21" spans="1:12" x14ac:dyDescent="0.35">
      <c r="A21" s="39">
        <f t="shared" si="12"/>
        <v>10</v>
      </c>
      <c r="B21" s="48">
        <f t="shared" si="6"/>
        <v>1.3849168845519587E-3</v>
      </c>
      <c r="C21" s="48">
        <f t="shared" si="13"/>
        <v>0</v>
      </c>
      <c r="D21" s="48">
        <f t="shared" si="7"/>
        <v>0.16666666666666666</v>
      </c>
      <c r="F21" s="48">
        <f t="shared" si="8"/>
        <v>3.0176157233258238E-2</v>
      </c>
      <c r="G21" s="48">
        <f t="shared" si="14"/>
        <v>0</v>
      </c>
      <c r="H21" s="48">
        <f t="shared" si="9"/>
        <v>0.16666666666666666</v>
      </c>
      <c r="J21" s="48">
        <f t="shared" si="10"/>
        <v>1.9444807526225813E-6</v>
      </c>
      <c r="K21" s="48">
        <f t="shared" si="15"/>
        <v>0</v>
      </c>
      <c r="L21" s="48">
        <f t="shared" si="11"/>
        <v>0.16666666666666666</v>
      </c>
    </row>
    <row r="22" spans="1:12" x14ac:dyDescent="0.35">
      <c r="A22" s="39">
        <f t="shared" si="12"/>
        <v>11</v>
      </c>
      <c r="B22" s="48">
        <f t="shared" si="6"/>
        <v>4.0615097679328962E-4</v>
      </c>
      <c r="C22" s="48">
        <f t="shared" si="13"/>
        <v>8.3333333333333329E-2</v>
      </c>
      <c r="D22" s="48">
        <f t="shared" si="7"/>
        <v>8.3333333333333329E-2</v>
      </c>
      <c r="F22" s="48">
        <f t="shared" si="8"/>
        <v>4.5001580709559223E-2</v>
      </c>
      <c r="G22" s="48">
        <f t="shared" si="14"/>
        <v>8.3333333333333329E-2</v>
      </c>
      <c r="H22" s="48">
        <f t="shared" si="9"/>
        <v>8.3333333333333329E-2</v>
      </c>
      <c r="J22" s="48">
        <f t="shared" si="10"/>
        <v>5.9256705939605551E-6</v>
      </c>
      <c r="K22" s="48">
        <f t="shared" si="15"/>
        <v>8.3333333333333329E-2</v>
      </c>
      <c r="L22" s="48">
        <f t="shared" si="11"/>
        <v>8.3333333333333329E-2</v>
      </c>
    </row>
    <row r="23" spans="1:12" x14ac:dyDescent="0.35">
      <c r="A23" s="39">
        <f t="shared" si="12"/>
        <v>12</v>
      </c>
      <c r="B23" s="48">
        <f t="shared" si="6"/>
        <v>1.0904332361605063E-4</v>
      </c>
      <c r="C23" s="48">
        <f t="shared" si="13"/>
        <v>0</v>
      </c>
      <c r="D23" s="48">
        <f t="shared" si="7"/>
        <v>0</v>
      </c>
      <c r="F23" s="48">
        <f t="shared" si="8"/>
        <v>6.1438328273689009E-2</v>
      </c>
      <c r="G23" s="48">
        <f t="shared" si="14"/>
        <v>0</v>
      </c>
      <c r="H23" s="48">
        <f t="shared" si="9"/>
        <v>0</v>
      </c>
      <c r="J23" s="48">
        <f t="shared" si="10"/>
        <v>1.6531762164310174E-5</v>
      </c>
      <c r="K23" s="48">
        <f t="shared" si="15"/>
        <v>0</v>
      </c>
      <c r="L23" s="48">
        <f t="shared" si="11"/>
        <v>0</v>
      </c>
    </row>
    <row r="24" spans="1:12" x14ac:dyDescent="0.35">
      <c r="A24" s="39">
        <f t="shared" si="12"/>
        <v>13</v>
      </c>
      <c r="B24" s="48">
        <f t="shared" si="6"/>
        <v>2.6988836775263188E-5</v>
      </c>
      <c r="C24" s="48">
        <f t="shared" si="13"/>
        <v>7.1428571428571425E-2</v>
      </c>
      <c r="D24" s="48">
        <f t="shared" si="7"/>
        <v>0.1875</v>
      </c>
      <c r="F24" s="48">
        <f t="shared" si="8"/>
        <v>7.7325817418112688E-2</v>
      </c>
      <c r="G24" s="48">
        <f t="shared" si="14"/>
        <v>7.1428571428571425E-2</v>
      </c>
      <c r="H24" s="48">
        <f t="shared" si="9"/>
        <v>0.1875</v>
      </c>
      <c r="J24" s="48">
        <f t="shared" si="10"/>
        <v>4.2518144161720798E-5</v>
      </c>
      <c r="K24" s="48">
        <f t="shared" si="15"/>
        <v>7.1428571428571425E-2</v>
      </c>
      <c r="L24" s="48">
        <f t="shared" si="11"/>
        <v>0.1875</v>
      </c>
    </row>
    <row r="25" spans="1:12" x14ac:dyDescent="0.35">
      <c r="A25" s="39">
        <f t="shared" si="12"/>
        <v>14</v>
      </c>
      <c r="B25" s="48">
        <f t="shared" si="6"/>
        <v>6.1946881779444629E-6</v>
      </c>
      <c r="C25" s="48">
        <f t="shared" si="13"/>
        <v>0</v>
      </c>
      <c r="D25" s="48">
        <f t="shared" si="7"/>
        <v>0.125</v>
      </c>
      <c r="F25" s="48">
        <f t="shared" si="8"/>
        <v>9.0252625801079817E-2</v>
      </c>
      <c r="G25" s="48">
        <f t="shared" si="14"/>
        <v>0</v>
      </c>
      <c r="H25" s="48">
        <f t="shared" si="9"/>
        <v>0.125</v>
      </c>
      <c r="J25" s="48">
        <f t="shared" si="10"/>
        <v>1.0140973514348278E-4</v>
      </c>
      <c r="K25" s="48">
        <f t="shared" si="15"/>
        <v>0</v>
      </c>
      <c r="L25" s="48">
        <f t="shared" si="11"/>
        <v>0.125</v>
      </c>
    </row>
    <row r="26" spans="1:12" x14ac:dyDescent="0.35">
      <c r="A26" s="39">
        <f t="shared" si="12"/>
        <v>15</v>
      </c>
      <c r="B26" s="48">
        <f t="shared" si="6"/>
        <v>1.3253349602464129E-6</v>
      </c>
      <c r="C26" s="48">
        <f t="shared" si="13"/>
        <v>6.25E-2</v>
      </c>
      <c r="D26" s="48">
        <f t="shared" si="7"/>
        <v>6.25E-2</v>
      </c>
      <c r="F26" s="48">
        <f t="shared" si="8"/>
        <v>9.8189736155217311E-2</v>
      </c>
      <c r="G26" s="48">
        <f t="shared" si="14"/>
        <v>6.25E-2</v>
      </c>
      <c r="H26" s="48">
        <f t="shared" si="9"/>
        <v>6.25E-2</v>
      </c>
      <c r="J26" s="48">
        <f t="shared" si="10"/>
        <v>2.2545294740594702E-4</v>
      </c>
      <c r="K26" s="48">
        <f t="shared" si="15"/>
        <v>6.25E-2</v>
      </c>
      <c r="L26" s="48">
        <f t="shared" si="11"/>
        <v>6.25E-2</v>
      </c>
    </row>
    <row r="27" spans="1:12" x14ac:dyDescent="0.35">
      <c r="A27" s="39">
        <f t="shared" si="12"/>
        <v>16</v>
      </c>
      <c r="B27" s="48">
        <f t="shared" si="6"/>
        <v>2.6548289214141054E-7</v>
      </c>
      <c r="C27" s="48">
        <f t="shared" si="13"/>
        <v>0</v>
      </c>
      <c r="D27" s="48">
        <f t="shared" si="13"/>
        <v>0</v>
      </c>
      <c r="F27" s="48">
        <f t="shared" si="8"/>
        <v>0.10001773656236235</v>
      </c>
      <c r="G27" s="48">
        <f t="shared" si="14"/>
        <v>0</v>
      </c>
      <c r="H27" s="48">
        <f t="shared" si="14"/>
        <v>0</v>
      </c>
      <c r="J27" s="48">
        <f t="shared" si="10"/>
        <v>4.6928521117650858E-4</v>
      </c>
      <c r="K27" s="48">
        <f t="shared" si="15"/>
        <v>0</v>
      </c>
      <c r="L27" s="48">
        <f t="shared" si="15"/>
        <v>0</v>
      </c>
    </row>
    <row r="28" spans="1:12" x14ac:dyDescent="0.35">
      <c r="A28" s="39">
        <f t="shared" si="12"/>
        <v>17</v>
      </c>
      <c r="B28" s="48">
        <f t="shared" si="6"/>
        <v>4.9986318604031421E-8</v>
      </c>
      <c r="C28" s="48">
        <f t="shared" si="13"/>
        <v>5.5555555555555552E-2</v>
      </c>
      <c r="D28" s="48">
        <f t="shared" si="13"/>
        <v>0.15</v>
      </c>
      <c r="F28" s="48">
        <f t="shared" si="8"/>
        <v>9.5761662666091554E-2</v>
      </c>
      <c r="G28" s="48">
        <f t="shared" si="14"/>
        <v>5.5555555555555552E-2</v>
      </c>
      <c r="H28" s="48">
        <f t="shared" si="14"/>
        <v>0.15</v>
      </c>
      <c r="J28" s="48">
        <f t="shared" si="10"/>
        <v>9.1816671751925581E-4</v>
      </c>
      <c r="K28" s="48">
        <f t="shared" si="15"/>
        <v>5.5555555555555552E-2</v>
      </c>
      <c r="L28" s="48">
        <f t="shared" si="15"/>
        <v>0.15</v>
      </c>
    </row>
    <row r="29" spans="1:12" x14ac:dyDescent="0.35">
      <c r="A29" s="39">
        <f t="shared" si="12"/>
        <v>18</v>
      </c>
      <c r="B29" s="48">
        <f t="shared" si="6"/>
        <v>8.8771611839795224E-9</v>
      </c>
      <c r="C29" s="48">
        <f t="shared" si="13"/>
        <v>0</v>
      </c>
      <c r="D29" s="48">
        <f t="shared" si="13"/>
        <v>0.1</v>
      </c>
      <c r="F29" s="48">
        <f t="shared" si="8"/>
        <v>8.6479799381671357E-2</v>
      </c>
      <c r="G29" s="48">
        <f t="shared" si="14"/>
        <v>0</v>
      </c>
      <c r="H29" s="48">
        <f t="shared" si="14"/>
        <v>0.1</v>
      </c>
      <c r="J29" s="48">
        <f t="shared" si="10"/>
        <v>1.6943946188036527E-3</v>
      </c>
      <c r="K29" s="48">
        <f t="shared" si="15"/>
        <v>0</v>
      </c>
      <c r="L29" s="48">
        <f t="shared" si="15"/>
        <v>0.1</v>
      </c>
    </row>
    <row r="30" spans="1:12" x14ac:dyDescent="0.35">
      <c r="A30" s="39">
        <f t="shared" si="12"/>
        <v>19</v>
      </c>
      <c r="B30" s="48">
        <f t="shared" si="6"/>
        <v>1.49158202672899E-9</v>
      </c>
      <c r="C30" s="48">
        <f t="shared" si="13"/>
        <v>0.05</v>
      </c>
      <c r="D30" s="48">
        <f t="shared" si="13"/>
        <v>0.05</v>
      </c>
      <c r="F30" s="48">
        <f t="shared" si="8"/>
        <v>7.3890354902816646E-2</v>
      </c>
      <c r="G30" s="48">
        <f t="shared" si="14"/>
        <v>0.05</v>
      </c>
      <c r="H30" s="48">
        <f t="shared" si="14"/>
        <v>0.05</v>
      </c>
      <c r="J30" s="48">
        <f t="shared" si="10"/>
        <v>2.9584052497647183E-3</v>
      </c>
      <c r="K30" s="48">
        <f t="shared" si="15"/>
        <v>0.05</v>
      </c>
      <c r="L30" s="48">
        <f t="shared" si="15"/>
        <v>0.05</v>
      </c>
    </row>
    <row r="31" spans="1:12" x14ac:dyDescent="0.35">
      <c r="A31" s="39">
        <f t="shared" si="12"/>
        <v>20</v>
      </c>
      <c r="B31" s="48">
        <f t="shared" si="6"/>
        <v>2.3777939421914209E-10</v>
      </c>
      <c r="C31" s="48">
        <f t="shared" si="13"/>
        <v>0</v>
      </c>
      <c r="D31" s="48">
        <f t="shared" si="13"/>
        <v>0</v>
      </c>
      <c r="F31" s="48">
        <f t="shared" si="8"/>
        <v>5.9898351527602388E-2</v>
      </c>
      <c r="G31" s="48">
        <f t="shared" si="14"/>
        <v>0</v>
      </c>
      <c r="H31" s="48">
        <f t="shared" si="14"/>
        <v>0</v>
      </c>
      <c r="J31" s="48">
        <f t="shared" si="10"/>
        <v>4.9006626093928635E-3</v>
      </c>
      <c r="K31" s="48">
        <f t="shared" si="15"/>
        <v>0</v>
      </c>
      <c r="L31" s="48">
        <f t="shared" si="15"/>
        <v>0</v>
      </c>
    </row>
    <row r="32" spans="1:12" x14ac:dyDescent="0.35">
      <c r="A32" s="39">
        <f t="shared" si="12"/>
        <v>21</v>
      </c>
      <c r="B32" s="48">
        <f t="shared" si="6"/>
        <v>3.6053022315355106E-11</v>
      </c>
      <c r="C32" s="48">
        <f t="shared" si="13"/>
        <v>4.5454545454545456E-2</v>
      </c>
      <c r="D32" s="48">
        <f t="shared" si="13"/>
        <v>0.125</v>
      </c>
      <c r="F32" s="48">
        <f t="shared" si="8"/>
        <v>4.6183024835365197E-2</v>
      </c>
      <c r="G32" s="48">
        <f t="shared" si="14"/>
        <v>4.5454545454545456E-2</v>
      </c>
      <c r="H32" s="48">
        <f t="shared" si="14"/>
        <v>0.125</v>
      </c>
      <c r="J32" s="48">
        <f t="shared" si="10"/>
        <v>7.7213338421283041E-3</v>
      </c>
      <c r="K32" s="48">
        <f t="shared" si="15"/>
        <v>4.5454545454545456E-2</v>
      </c>
      <c r="L32" s="48">
        <f t="shared" si="15"/>
        <v>0.125</v>
      </c>
    </row>
    <row r="33" spans="1:12" x14ac:dyDescent="0.35">
      <c r="A33" s="39">
        <f t="shared" si="12"/>
        <v>22</v>
      </c>
      <c r="B33" s="48">
        <f t="shared" si="6"/>
        <v>5.2111633624324286E-12</v>
      </c>
      <c r="C33" s="48">
        <f t="shared" si="13"/>
        <v>0</v>
      </c>
      <c r="D33" s="48">
        <f t="shared" si="13"/>
        <v>8.3333333333333329E-2</v>
      </c>
      <c r="F33" s="48">
        <f t="shared" si="8"/>
        <v>3.39449698983341E-2</v>
      </c>
      <c r="G33" s="48">
        <f t="shared" si="14"/>
        <v>0</v>
      </c>
      <c r="H33" s="48">
        <f t="shared" si="14"/>
        <v>8.3333333333333329E-2</v>
      </c>
      <c r="J33" s="48">
        <f t="shared" si="10"/>
        <v>1.1597260316240155E-2</v>
      </c>
      <c r="K33" s="48">
        <f t="shared" si="15"/>
        <v>0</v>
      </c>
      <c r="L33" s="48">
        <f t="shared" si="15"/>
        <v>8.3333333333333329E-2</v>
      </c>
    </row>
    <row r="34" spans="1:12" x14ac:dyDescent="0.35">
      <c r="A34" s="39">
        <f t="shared" si="12"/>
        <v>23</v>
      </c>
      <c r="B34" s="48">
        <f t="shared" si="6"/>
        <v>7.1953301657016743E-13</v>
      </c>
      <c r="C34" s="48">
        <f t="shared" si="13"/>
        <v>4.1666666666666664E-2</v>
      </c>
      <c r="D34" s="48">
        <f t="shared" si="13"/>
        <v>4.1666666666666664E-2</v>
      </c>
      <c r="F34" s="48">
        <f t="shared" si="8"/>
        <v>2.3833702269043133E-2</v>
      </c>
      <c r="G34" s="48">
        <f t="shared" si="14"/>
        <v>4.1666666666666664E-2</v>
      </c>
      <c r="H34" s="48">
        <f t="shared" si="14"/>
        <v>4.1666666666666664E-2</v>
      </c>
      <c r="J34" s="48">
        <f t="shared" si="10"/>
        <v>1.6639547410257607E-2</v>
      </c>
      <c r="K34" s="48">
        <f t="shared" si="15"/>
        <v>4.1666666666666664E-2</v>
      </c>
      <c r="L34" s="48">
        <f t="shared" si="15"/>
        <v>4.1666666666666664E-2</v>
      </c>
    </row>
    <row r="35" spans="1:12" x14ac:dyDescent="0.35">
      <c r="A35" s="39">
        <f t="shared" si="12"/>
        <v>24</v>
      </c>
      <c r="B35" s="48">
        <f t="shared" si="6"/>
        <v>9.5084732663909683E-14</v>
      </c>
      <c r="C35" s="48">
        <f t="shared" si="13"/>
        <v>0</v>
      </c>
      <c r="D35" s="48">
        <f t="shared" si="13"/>
        <v>0</v>
      </c>
      <c r="F35" s="48">
        <f t="shared" si="8"/>
        <v>1.6015909858098153E-2</v>
      </c>
      <c r="G35" s="48">
        <f t="shared" si="14"/>
        <v>0</v>
      </c>
      <c r="H35" s="48">
        <f t="shared" si="14"/>
        <v>0</v>
      </c>
      <c r="J35" s="48">
        <f t="shared" si="10"/>
        <v>2.2849233581476888E-2</v>
      </c>
      <c r="K35" s="48">
        <f t="shared" si="15"/>
        <v>0</v>
      </c>
      <c r="L35" s="48">
        <f t="shared" si="15"/>
        <v>0</v>
      </c>
    </row>
    <row r="36" spans="1:12" x14ac:dyDescent="0.35">
      <c r="A36" s="39">
        <f t="shared" si="12"/>
        <v>25</v>
      </c>
      <c r="B36" s="48">
        <f t="shared" si="6"/>
        <v>1.2046718431226787E-14</v>
      </c>
      <c r="C36" s="48">
        <f t="shared" si="13"/>
        <v>3.8461538461538464E-2</v>
      </c>
      <c r="D36" s="48">
        <f t="shared" si="13"/>
        <v>0.10714285714285714</v>
      </c>
      <c r="F36" s="48">
        <f t="shared" si="8"/>
        <v>1.0318335117089602E-2</v>
      </c>
      <c r="G36" s="48">
        <f t="shared" si="14"/>
        <v>3.8461538461538464E-2</v>
      </c>
      <c r="H36" s="48">
        <f t="shared" si="14"/>
        <v>0.10714285714285714</v>
      </c>
      <c r="J36" s="48">
        <f t="shared" si="10"/>
        <v>3.008151273248352E-2</v>
      </c>
      <c r="K36" s="48">
        <f t="shared" si="15"/>
        <v>3.8461538461538464E-2</v>
      </c>
      <c r="L36" s="48">
        <f t="shared" si="15"/>
        <v>0.10714285714285714</v>
      </c>
    </row>
    <row r="37" spans="1:12" x14ac:dyDescent="0.35">
      <c r="A37" s="39">
        <f t="shared" si="12"/>
        <v>26</v>
      </c>
      <c r="B37" s="48">
        <f t="shared" si="6"/>
        <v>1.4656129922766914E-15</v>
      </c>
      <c r="C37" s="48">
        <f t="shared" si="13"/>
        <v>0</v>
      </c>
      <c r="D37" s="48">
        <f t="shared" si="13"/>
        <v>7.1428571428571425E-2</v>
      </c>
      <c r="F37" s="48">
        <f t="shared" si="8"/>
        <v>6.3835199251389019E-3</v>
      </c>
      <c r="G37" s="48">
        <f t="shared" si="14"/>
        <v>0</v>
      </c>
      <c r="H37" s="48">
        <f t="shared" si="14"/>
        <v>7.1428571428571425E-2</v>
      </c>
      <c r="J37" s="48">
        <f t="shared" si="10"/>
        <v>3.8029470946082874E-2</v>
      </c>
      <c r="K37" s="48">
        <f t="shared" si="15"/>
        <v>0</v>
      </c>
      <c r="L37" s="48">
        <f t="shared" si="15"/>
        <v>7.1428571428571425E-2</v>
      </c>
    </row>
    <row r="38" spans="1:12" x14ac:dyDescent="0.35">
      <c r="A38" s="39">
        <f t="shared" si="12"/>
        <v>27</v>
      </c>
      <c r="B38" s="48">
        <f t="shared" si="6"/>
        <v>1.714764929751923E-16</v>
      </c>
      <c r="C38" s="48">
        <f t="shared" si="13"/>
        <v>3.5714285714285712E-2</v>
      </c>
      <c r="D38" s="48">
        <f t="shared" si="13"/>
        <v>3.5714285714285712E-2</v>
      </c>
      <c r="F38" s="48">
        <f t="shared" si="8"/>
        <v>3.7979176859573513E-3</v>
      </c>
      <c r="G38" s="48">
        <f t="shared" si="14"/>
        <v>3.5714285714285712E-2</v>
      </c>
      <c r="H38" s="48">
        <f t="shared" si="14"/>
        <v>3.5714285714285712E-2</v>
      </c>
      <c r="J38" s="48">
        <f t="shared" si="10"/>
        <v>4.6235508155060501E-2</v>
      </c>
      <c r="K38" s="48">
        <f t="shared" si="15"/>
        <v>3.5714285714285712E-2</v>
      </c>
      <c r="L38" s="48">
        <f t="shared" si="15"/>
        <v>3.5714285714285712E-2</v>
      </c>
    </row>
    <row r="39" spans="1:12" x14ac:dyDescent="0.35">
      <c r="A39" s="39">
        <f t="shared" si="12"/>
        <v>28</v>
      </c>
      <c r="B39" s="48">
        <f t="shared" si="6"/>
        <v>1.9320573177419934E-17</v>
      </c>
      <c r="C39" s="48">
        <f t="shared" si="13"/>
        <v>0</v>
      </c>
      <c r="D39" s="48">
        <f t="shared" si="13"/>
        <v>0</v>
      </c>
      <c r="F39" s="48">
        <f t="shared" si="8"/>
        <v>2.1760105890667411E-3</v>
      </c>
      <c r="G39" s="48">
        <f t="shared" si="14"/>
        <v>0</v>
      </c>
      <c r="H39" s="48">
        <f t="shared" si="14"/>
        <v>0</v>
      </c>
      <c r="J39" s="48">
        <f t="shared" si="10"/>
        <v>5.4132877560427936E-2</v>
      </c>
      <c r="K39" s="48">
        <f t="shared" si="15"/>
        <v>0</v>
      </c>
      <c r="L39" s="48">
        <f t="shared" si="15"/>
        <v>0</v>
      </c>
    </row>
    <row r="40" spans="1:12" x14ac:dyDescent="0.35">
      <c r="A40" s="39">
        <f t="shared" si="12"/>
        <v>29</v>
      </c>
      <c r="B40" s="48">
        <f t="shared" si="6"/>
        <v>2.099032116952414E-18</v>
      </c>
      <c r="C40" s="48">
        <f t="shared" si="13"/>
        <v>3.3333333333333333E-2</v>
      </c>
      <c r="D40" s="48">
        <f t="shared" si="13"/>
        <v>9.375E-2</v>
      </c>
      <c r="F40" s="48">
        <f t="shared" si="8"/>
        <v>1.2021540525071622E-3</v>
      </c>
      <c r="G40" s="48">
        <f t="shared" si="14"/>
        <v>3.3333333333333333E-2</v>
      </c>
      <c r="H40" s="48">
        <f t="shared" si="14"/>
        <v>9.375E-2</v>
      </c>
      <c r="J40" s="48">
        <f t="shared" si="10"/>
        <v>6.1112528940033314E-2</v>
      </c>
      <c r="K40" s="48">
        <f t="shared" si="15"/>
        <v>3.3333333333333333E-2</v>
      </c>
      <c r="L40" s="48">
        <f t="shared" si="15"/>
        <v>9.375E-2</v>
      </c>
    </row>
    <row r="41" spans="1:12" x14ac:dyDescent="0.35">
      <c r="A41" s="39">
        <f t="shared" si="12"/>
        <v>30</v>
      </c>
      <c r="B41" s="48">
        <f t="shared" si="6"/>
        <v>2.2014953304717231E-19</v>
      </c>
      <c r="C41" s="48">
        <f t="shared" si="13"/>
        <v>0</v>
      </c>
      <c r="D41" s="48">
        <f t="shared" si="13"/>
        <v>6.25E-2</v>
      </c>
      <c r="F41" s="48">
        <f t="shared" si="8"/>
        <v>6.4114882800381853E-4</v>
      </c>
      <c r="G41" s="48">
        <f t="shared" si="14"/>
        <v>0</v>
      </c>
      <c r="H41" s="48">
        <f t="shared" si="14"/>
        <v>6.25E-2</v>
      </c>
      <c r="J41" s="48">
        <f t="shared" si="10"/>
        <v>6.6603799656384161E-2</v>
      </c>
      <c r="K41" s="48">
        <f t="shared" si="15"/>
        <v>0</v>
      </c>
      <c r="L41" s="48">
        <f t="shared" si="15"/>
        <v>6.25E-2</v>
      </c>
    </row>
    <row r="42" spans="1:12" x14ac:dyDescent="0.35">
      <c r="A42" s="39">
        <f t="shared" si="12"/>
        <v>31</v>
      </c>
      <c r="B42" s="48">
        <f t="shared" si="6"/>
        <v>2.2315062669513374E-20</v>
      </c>
      <c r="C42" s="48">
        <f t="shared" si="13"/>
        <v>3.125E-2</v>
      </c>
      <c r="D42" s="48">
        <f t="shared" si="13"/>
        <v>3.125E-2</v>
      </c>
      <c r="F42" s="48">
        <f t="shared" si="8"/>
        <v>3.3047547689146663E-4</v>
      </c>
      <c r="G42" s="48">
        <f t="shared" si="14"/>
        <v>3.125E-2</v>
      </c>
      <c r="H42" s="48">
        <f t="shared" si="14"/>
        <v>3.125E-2</v>
      </c>
      <c r="J42" s="48">
        <f t="shared" si="10"/>
        <v>7.0153511279024541E-2</v>
      </c>
      <c r="K42" s="48">
        <f t="shared" si="15"/>
        <v>3.125E-2</v>
      </c>
      <c r="L42" s="48">
        <f t="shared" si="15"/>
        <v>3.125E-2</v>
      </c>
    </row>
    <row r="43" spans="1:12" x14ac:dyDescent="0.35">
      <c r="A43" s="39">
        <f t="shared" si="12"/>
        <v>32</v>
      </c>
      <c r="B43" s="48">
        <f t="shared" ref="B43:B74" si="16">IF($A43&gt;Annual_target_population,0,IF(mdvp=no,_xlfn.BINOM.DIST($A43,Annual_target_population*No._of_doses_in_the_schedule*Target_coverage,1/(No._of_weeks_in_year*B$10),FALSE),_xlfn.BINOM.DIST($A43,Annual_target_population*No._of_doses_in_the_schedule*Target_coverage,mdvp/(No._of_weeks_in_year*B$10),FALSE)))</f>
        <v>2.1883233527896354E-21</v>
      </c>
      <c r="C43" s="48">
        <f t="shared" si="13"/>
        <v>0</v>
      </c>
      <c r="D43" s="48">
        <f t="shared" si="13"/>
        <v>0</v>
      </c>
      <c r="F43" s="48">
        <f t="shared" ref="F43:F74" si="17">IF($A43&gt;Annual_target_population,0,IF(mdvp=no,_xlfn.BINOM.DIST($A43,Annual_target_population*No._of_doses_in_the_schedule*Target_coverage,1/(No._of_weeks_in_year*F$10),FALSE),_xlfn.BINOM.DIST($A43,Annual_target_population*No._of_doses_in_the_schedule*Target_coverage,mdvp/(No._of_weeks_in_year*F$10),FALSE)))</f>
        <v>1.6479827637540001E-4</v>
      </c>
      <c r="G43" s="48">
        <f t="shared" si="14"/>
        <v>0</v>
      </c>
      <c r="H43" s="48">
        <f t="shared" si="14"/>
        <v>0</v>
      </c>
      <c r="J43" s="48">
        <f t="shared" ref="J43:J74" si="18">IF($A43&gt;Annual_target_population,0,IF(mdvp=no,_xlfn.BINOM.DIST($A43,Annual_target_population*No._of_doses_in_the_schedule*Target_coverage,1/(No._of_weeks_in_year*J$10),FALSE),_xlfn.BINOM.DIST($A43,Annual_target_population*No._of_doses_in_the_schedule*Target_coverage,mdvp/(No._of_weeks_in_year*J$10),FALSE)))</f>
        <v>7.1487953069658175E-2</v>
      </c>
      <c r="K43" s="48">
        <f t="shared" si="15"/>
        <v>0</v>
      </c>
      <c r="L43" s="48">
        <f t="shared" si="15"/>
        <v>0</v>
      </c>
    </row>
    <row r="44" spans="1:12" x14ac:dyDescent="0.35">
      <c r="A44" s="39">
        <f t="shared" si="12"/>
        <v>33</v>
      </c>
      <c r="B44" s="48">
        <f t="shared" si="16"/>
        <v>2.0781719173823216E-22</v>
      </c>
      <c r="C44" s="48">
        <f t="shared" ref="C44:D75" si="19">IFERROR(IF(MOD($A44,C$10)=0,0,(C$10-MOD($A44,C$10))/(ROUNDUP($A44/C$10,0)*C$10)),"")</f>
        <v>2.9411764705882353E-2</v>
      </c>
      <c r="D44" s="48">
        <f t="shared" si="19"/>
        <v>8.3333333333333329E-2</v>
      </c>
      <c r="F44" s="48">
        <f t="shared" si="17"/>
        <v>7.9583435851176602E-5</v>
      </c>
      <c r="G44" s="48">
        <f t="shared" ref="G44:H75" si="20">IFERROR(IF(MOD($A44,G$10)=0,0,(G$10-MOD($A44,G$10))/(ROUNDUP($A44/G$10,0)*G$10)),"")</f>
        <v>2.9411764705882353E-2</v>
      </c>
      <c r="H44" s="48">
        <f t="shared" si="20"/>
        <v>8.3333333333333329E-2</v>
      </c>
      <c r="J44" s="48">
        <f t="shared" si="18"/>
        <v>7.0546082805235763E-2</v>
      </c>
      <c r="K44" s="48">
        <f t="shared" ref="K44:L75" si="21">IFERROR(IF(MOD($A44,K$10)=0,0,(K$10-MOD($A44,K$10))/(ROUNDUP($A44/K$10,0)*K$10)),"")</f>
        <v>2.9411764705882353E-2</v>
      </c>
      <c r="L44" s="48">
        <f t="shared" si="21"/>
        <v>8.3333333333333329E-2</v>
      </c>
    </row>
    <row r="45" spans="1:12" x14ac:dyDescent="0.35">
      <c r="A45" s="39">
        <f t="shared" si="12"/>
        <v>34</v>
      </c>
      <c r="B45" s="48">
        <f t="shared" si="16"/>
        <v>1.9129615975904364E-23</v>
      </c>
      <c r="C45" s="48">
        <f t="shared" si="19"/>
        <v>0</v>
      </c>
      <c r="D45" s="48">
        <f t="shared" si="19"/>
        <v>5.5555555555555552E-2</v>
      </c>
      <c r="F45" s="48">
        <f t="shared" si="17"/>
        <v>3.7251821036720774E-5</v>
      </c>
      <c r="G45" s="48">
        <f t="shared" si="20"/>
        <v>0</v>
      </c>
      <c r="H45" s="48">
        <f t="shared" si="20"/>
        <v>5.5555555555555552E-2</v>
      </c>
      <c r="J45" s="48">
        <f t="shared" si="18"/>
        <v>6.7478861813703744E-2</v>
      </c>
      <c r="K45" s="48">
        <f t="shared" si="21"/>
        <v>0</v>
      </c>
      <c r="L45" s="48">
        <f t="shared" si="21"/>
        <v>5.5555555555555552E-2</v>
      </c>
    </row>
    <row r="46" spans="1:12" x14ac:dyDescent="0.35">
      <c r="A46" s="39">
        <f t="shared" si="12"/>
        <v>35</v>
      </c>
      <c r="B46" s="48">
        <f t="shared" si="16"/>
        <v>1.7082872843993407E-24</v>
      </c>
      <c r="C46" s="48">
        <f t="shared" si="19"/>
        <v>2.7777777777777776E-2</v>
      </c>
      <c r="D46" s="48">
        <f t="shared" si="19"/>
        <v>2.7777777777777776E-2</v>
      </c>
      <c r="F46" s="48">
        <f t="shared" si="17"/>
        <v>1.6916176482936465E-5</v>
      </c>
      <c r="G46" s="48">
        <f t="shared" si="20"/>
        <v>2.7777777777777776E-2</v>
      </c>
      <c r="H46" s="48">
        <f t="shared" si="20"/>
        <v>2.7777777777777776E-2</v>
      </c>
      <c r="J46" s="48">
        <f t="shared" si="18"/>
        <v>6.2617030776194654E-2</v>
      </c>
      <c r="K46" s="48">
        <f t="shared" si="21"/>
        <v>2.7777777777777776E-2</v>
      </c>
      <c r="L46" s="48">
        <f t="shared" si="21"/>
        <v>2.7777777777777776E-2</v>
      </c>
    </row>
    <row r="47" spans="1:12" x14ac:dyDescent="0.35">
      <c r="A47" s="39">
        <f t="shared" si="12"/>
        <v>36</v>
      </c>
      <c r="B47" s="48">
        <f t="shared" si="16"/>
        <v>1.4811509927497917E-25</v>
      </c>
      <c r="C47" s="48">
        <f t="shared" si="19"/>
        <v>0</v>
      </c>
      <c r="D47" s="48">
        <f t="shared" si="19"/>
        <v>0</v>
      </c>
      <c r="F47" s="48">
        <f t="shared" si="17"/>
        <v>7.4583142176539836E-6</v>
      </c>
      <c r="G47" s="48">
        <f t="shared" si="20"/>
        <v>0</v>
      </c>
      <c r="H47" s="48">
        <f t="shared" si="20"/>
        <v>0</v>
      </c>
      <c r="J47" s="48">
        <f t="shared" si="18"/>
        <v>5.6415827245218875E-2</v>
      </c>
      <c r="K47" s="48">
        <f t="shared" si="21"/>
        <v>0</v>
      </c>
      <c r="L47" s="48">
        <f t="shared" si="21"/>
        <v>0</v>
      </c>
    </row>
    <row r="48" spans="1:12" x14ac:dyDescent="0.35">
      <c r="A48" s="39">
        <f t="shared" si="12"/>
        <v>37</v>
      </c>
      <c r="B48" s="48">
        <f t="shared" si="16"/>
        <v>1.2478316064667951E-26</v>
      </c>
      <c r="C48" s="48">
        <f t="shared" si="19"/>
        <v>2.6315789473684209E-2</v>
      </c>
      <c r="D48" s="48">
        <f t="shared" si="19"/>
        <v>7.4999999999999997E-2</v>
      </c>
      <c r="F48" s="48">
        <f t="shared" si="17"/>
        <v>3.1951949926119707E-6</v>
      </c>
      <c r="G48" s="48">
        <f t="shared" si="20"/>
        <v>2.6315789473684209E-2</v>
      </c>
      <c r="H48" s="48">
        <f t="shared" si="20"/>
        <v>7.4999999999999997E-2</v>
      </c>
      <c r="J48" s="48">
        <f t="shared" si="18"/>
        <v>4.9388708927953037E-2</v>
      </c>
      <c r="K48" s="48">
        <f t="shared" si="21"/>
        <v>2.6315789473684209E-2</v>
      </c>
      <c r="L48" s="48">
        <f t="shared" si="21"/>
        <v>7.4999999999999997E-2</v>
      </c>
    </row>
    <row r="49" spans="1:12" x14ac:dyDescent="0.35">
      <c r="A49" s="39">
        <f t="shared" si="12"/>
        <v>38</v>
      </c>
      <c r="B49" s="48">
        <f t="shared" si="16"/>
        <v>1.0222271693583856E-27</v>
      </c>
      <c r="C49" s="48">
        <f t="shared" si="19"/>
        <v>0</v>
      </c>
      <c r="D49" s="48">
        <f t="shared" si="19"/>
        <v>0.05</v>
      </c>
      <c r="F49" s="48">
        <f t="shared" si="17"/>
        <v>1.3310330764296248E-6</v>
      </c>
      <c r="G49" s="48">
        <f t="shared" si="20"/>
        <v>0</v>
      </c>
      <c r="H49" s="48">
        <f t="shared" si="20"/>
        <v>0.05</v>
      </c>
      <c r="J49" s="48">
        <f t="shared" si="18"/>
        <v>4.2042562291072193E-2</v>
      </c>
      <c r="K49" s="48">
        <f t="shared" si="21"/>
        <v>0</v>
      </c>
      <c r="L49" s="48">
        <f t="shared" si="21"/>
        <v>0.05</v>
      </c>
    </row>
    <row r="50" spans="1:12" x14ac:dyDescent="0.35">
      <c r="A50" s="39">
        <f t="shared" si="12"/>
        <v>39</v>
      </c>
      <c r="B50" s="48">
        <f t="shared" si="16"/>
        <v>8.1484259932762845E-29</v>
      </c>
      <c r="C50" s="48">
        <f t="shared" si="19"/>
        <v>2.5000000000000001E-2</v>
      </c>
      <c r="D50" s="48">
        <f t="shared" si="19"/>
        <v>2.5000000000000001E-2</v>
      </c>
      <c r="F50" s="48">
        <f t="shared" si="17"/>
        <v>5.3952950124779775E-7</v>
      </c>
      <c r="G50" s="48">
        <f t="shared" si="20"/>
        <v>2.5000000000000001E-2</v>
      </c>
      <c r="H50" s="48">
        <f t="shared" si="20"/>
        <v>2.5000000000000001E-2</v>
      </c>
      <c r="J50" s="48">
        <f t="shared" si="18"/>
        <v>3.4824552711557016E-2</v>
      </c>
      <c r="K50" s="48">
        <f t="shared" si="21"/>
        <v>2.5000000000000001E-2</v>
      </c>
      <c r="L50" s="48">
        <f t="shared" si="21"/>
        <v>2.5000000000000001E-2</v>
      </c>
    </row>
    <row r="51" spans="1:12" x14ac:dyDescent="0.35">
      <c r="A51" s="39">
        <f t="shared" si="12"/>
        <v>40</v>
      </c>
      <c r="B51" s="48">
        <f t="shared" si="16"/>
        <v>6.3244059487562633E-30</v>
      </c>
      <c r="C51" s="48">
        <f t="shared" si="19"/>
        <v>0</v>
      </c>
      <c r="D51" s="48">
        <f t="shared" si="19"/>
        <v>0</v>
      </c>
      <c r="F51" s="48">
        <f t="shared" si="17"/>
        <v>2.1294196272652308E-7</v>
      </c>
      <c r="G51" s="48">
        <f t="shared" si="20"/>
        <v>0</v>
      </c>
      <c r="H51" s="48">
        <f t="shared" si="20"/>
        <v>0</v>
      </c>
      <c r="J51" s="48">
        <f t="shared" si="18"/>
        <v>2.8086758817364419E-2</v>
      </c>
      <c r="K51" s="48">
        <f t="shared" si="21"/>
        <v>0</v>
      </c>
      <c r="L51" s="48">
        <f t="shared" si="21"/>
        <v>0</v>
      </c>
    </row>
    <row r="52" spans="1:12" x14ac:dyDescent="0.35">
      <c r="A52" s="39">
        <f t="shared" si="12"/>
        <v>41</v>
      </c>
      <c r="B52" s="48">
        <f t="shared" si="16"/>
        <v>4.7825133258786003E-31</v>
      </c>
      <c r="C52" s="48">
        <f t="shared" si="19"/>
        <v>2.3809523809523808E-2</v>
      </c>
      <c r="D52" s="48">
        <f t="shared" si="19"/>
        <v>6.8181818181818177E-2</v>
      </c>
      <c r="F52" s="48">
        <f t="shared" si="17"/>
        <v>8.1883754219177135E-8</v>
      </c>
      <c r="G52" s="48">
        <f t="shared" si="20"/>
        <v>2.3809523809523808E-2</v>
      </c>
      <c r="H52" s="48">
        <f t="shared" si="20"/>
        <v>6.8181818181818177E-2</v>
      </c>
      <c r="J52" s="48">
        <f t="shared" si="18"/>
        <v>2.2070295104630999E-2</v>
      </c>
      <c r="K52" s="48">
        <f t="shared" si="21"/>
        <v>2.3809523809523808E-2</v>
      </c>
      <c r="L52" s="48">
        <f t="shared" si="21"/>
        <v>6.8181818181818177E-2</v>
      </c>
    </row>
    <row r="53" spans="1:12" x14ac:dyDescent="0.35">
      <c r="A53" s="39">
        <f t="shared" si="12"/>
        <v>42</v>
      </c>
      <c r="B53" s="48">
        <f t="shared" si="16"/>
        <v>3.5256623442421113E-32</v>
      </c>
      <c r="C53" s="48">
        <f t="shared" si="19"/>
        <v>0</v>
      </c>
      <c r="D53" s="48">
        <f t="shared" si="19"/>
        <v>4.5454545454545456E-2</v>
      </c>
      <c r="F53" s="48">
        <f t="shared" si="17"/>
        <v>3.069603754923558E-8</v>
      </c>
      <c r="G53" s="48">
        <f t="shared" si="20"/>
        <v>0</v>
      </c>
      <c r="H53" s="48">
        <f t="shared" si="20"/>
        <v>4.5454545454545456E-2</v>
      </c>
      <c r="J53" s="48">
        <f t="shared" si="18"/>
        <v>1.6906851322388176E-2</v>
      </c>
      <c r="K53" s="48">
        <f t="shared" si="21"/>
        <v>0</v>
      </c>
      <c r="L53" s="48">
        <f t="shared" si="21"/>
        <v>4.5454545454545456E-2</v>
      </c>
    </row>
    <row r="54" spans="1:12" x14ac:dyDescent="0.35">
      <c r="A54" s="39">
        <f t="shared" si="12"/>
        <v>43</v>
      </c>
      <c r="B54" s="48">
        <f t="shared" si="16"/>
        <v>2.5352383695580624E-33</v>
      </c>
      <c r="C54" s="48">
        <f t="shared" si="19"/>
        <v>2.2727272727272728E-2</v>
      </c>
      <c r="D54" s="48">
        <f t="shared" si="19"/>
        <v>2.2727272727272728E-2</v>
      </c>
      <c r="F54" s="48">
        <f t="shared" si="17"/>
        <v>1.1224330405188037E-8</v>
      </c>
      <c r="G54" s="48">
        <f t="shared" si="20"/>
        <v>2.2727272727272728E-2</v>
      </c>
      <c r="H54" s="48">
        <f t="shared" si="20"/>
        <v>2.2727272727272728E-2</v>
      </c>
      <c r="J54" s="48">
        <f t="shared" si="18"/>
        <v>1.263312753007567E-2</v>
      </c>
      <c r="K54" s="48">
        <f t="shared" si="21"/>
        <v>2.2727272727272728E-2</v>
      </c>
      <c r="L54" s="48">
        <f t="shared" si="21"/>
        <v>2.2727272727272728E-2</v>
      </c>
    </row>
    <row r="55" spans="1:12" x14ac:dyDescent="0.35">
      <c r="A55" s="39">
        <f t="shared" si="12"/>
        <v>44</v>
      </c>
      <c r="B55" s="48">
        <f t="shared" si="16"/>
        <v>1.7791992361486085E-34</v>
      </c>
      <c r="C55" s="48">
        <f t="shared" si="19"/>
        <v>0</v>
      </c>
      <c r="D55" s="48">
        <f t="shared" si="19"/>
        <v>0</v>
      </c>
      <c r="F55" s="48">
        <f t="shared" si="17"/>
        <v>4.0055879298978499E-9</v>
      </c>
      <c r="G55" s="48">
        <f t="shared" si="20"/>
        <v>0</v>
      </c>
      <c r="H55" s="48">
        <f t="shared" si="20"/>
        <v>0</v>
      </c>
      <c r="J55" s="48">
        <f t="shared" si="18"/>
        <v>9.212695767980084E-3</v>
      </c>
      <c r="K55" s="48">
        <f t="shared" si="21"/>
        <v>0</v>
      </c>
      <c r="L55" s="48">
        <f t="shared" si="21"/>
        <v>0</v>
      </c>
    </row>
    <row r="56" spans="1:12" x14ac:dyDescent="0.35">
      <c r="A56" s="39">
        <f t="shared" si="12"/>
        <v>45</v>
      </c>
      <c r="B56" s="48">
        <f t="shared" si="16"/>
        <v>1.219218816403077E-35</v>
      </c>
      <c r="C56" s="48">
        <f t="shared" si="19"/>
        <v>2.1739130434782608E-2</v>
      </c>
      <c r="D56" s="48">
        <f t="shared" si="19"/>
        <v>6.25E-2</v>
      </c>
      <c r="F56" s="48">
        <f t="shared" si="17"/>
        <v>1.3958006167067418E-9</v>
      </c>
      <c r="G56" s="48">
        <f t="shared" si="20"/>
        <v>2.1739130434782608E-2</v>
      </c>
      <c r="H56" s="48">
        <f t="shared" si="20"/>
        <v>6.25E-2</v>
      </c>
      <c r="J56" s="48">
        <f t="shared" si="18"/>
        <v>6.5601514792283386E-3</v>
      </c>
      <c r="K56" s="48">
        <f t="shared" si="21"/>
        <v>2.1739130434782608E-2</v>
      </c>
      <c r="L56" s="48">
        <f t="shared" si="21"/>
        <v>6.25E-2</v>
      </c>
    </row>
    <row r="57" spans="1:12" x14ac:dyDescent="0.35">
      <c r="A57" s="39">
        <f t="shared" si="12"/>
        <v>46</v>
      </c>
      <c r="B57" s="48">
        <f t="shared" si="16"/>
        <v>8.1621343357527707E-37</v>
      </c>
      <c r="C57" s="48">
        <f t="shared" si="19"/>
        <v>0</v>
      </c>
      <c r="D57" s="48">
        <f t="shared" si="19"/>
        <v>4.1666666666666664E-2</v>
      </c>
      <c r="F57" s="48">
        <f t="shared" si="17"/>
        <v>4.7516616738952875E-10</v>
      </c>
      <c r="G57" s="48">
        <f t="shared" si="20"/>
        <v>0</v>
      </c>
      <c r="H57" s="48">
        <f t="shared" si="20"/>
        <v>4.1666666666666664E-2</v>
      </c>
      <c r="J57" s="48">
        <f t="shared" si="18"/>
        <v>4.5635836377240536E-3</v>
      </c>
      <c r="K57" s="48">
        <f t="shared" si="21"/>
        <v>0</v>
      </c>
      <c r="L57" s="48">
        <f t="shared" si="21"/>
        <v>4.1666666666666664E-2</v>
      </c>
    </row>
    <row r="58" spans="1:12" x14ac:dyDescent="0.35">
      <c r="A58" s="39">
        <f t="shared" si="12"/>
        <v>47</v>
      </c>
      <c r="B58" s="48">
        <f t="shared" si="16"/>
        <v>5.340664770567393E-38</v>
      </c>
      <c r="C58" s="48">
        <f t="shared" si="19"/>
        <v>2.0833333333333332E-2</v>
      </c>
      <c r="D58" s="48">
        <f t="shared" si="19"/>
        <v>2.0833333333333332E-2</v>
      </c>
      <c r="F58" s="48">
        <f t="shared" si="17"/>
        <v>1.581019162658666E-10</v>
      </c>
      <c r="G58" s="48">
        <f t="shared" si="20"/>
        <v>2.0833333333333332E-2</v>
      </c>
      <c r="H58" s="48">
        <f t="shared" si="20"/>
        <v>2.0833333333333332E-2</v>
      </c>
      <c r="J58" s="48">
        <f t="shared" si="18"/>
        <v>3.1028991431333716E-3</v>
      </c>
      <c r="K58" s="48">
        <f t="shared" si="21"/>
        <v>2.0833333333333332E-2</v>
      </c>
      <c r="L58" s="48">
        <f t="shared" si="21"/>
        <v>2.0833333333333332E-2</v>
      </c>
    </row>
    <row r="59" spans="1:12" x14ac:dyDescent="0.35">
      <c r="A59" s="39">
        <f t="shared" si="12"/>
        <v>48</v>
      </c>
      <c r="B59" s="48">
        <f t="shared" si="16"/>
        <v>3.4170571317960849E-39</v>
      </c>
      <c r="C59" s="48">
        <f t="shared" si="19"/>
        <v>0</v>
      </c>
      <c r="D59" s="48">
        <f t="shared" si="19"/>
        <v>0</v>
      </c>
      <c r="F59" s="48">
        <f t="shared" si="17"/>
        <v>5.1439187295721058E-11</v>
      </c>
      <c r="G59" s="48">
        <f t="shared" si="20"/>
        <v>0</v>
      </c>
      <c r="H59" s="48">
        <f t="shared" si="20"/>
        <v>0</v>
      </c>
      <c r="J59" s="48">
        <f t="shared" si="18"/>
        <v>2.0629782346557081E-3</v>
      </c>
      <c r="K59" s="48">
        <f t="shared" si="21"/>
        <v>0</v>
      </c>
      <c r="L59" s="48">
        <f t="shared" si="21"/>
        <v>0</v>
      </c>
    </row>
    <row r="60" spans="1:12" x14ac:dyDescent="0.35">
      <c r="A60" s="39">
        <f t="shared" si="12"/>
        <v>49</v>
      </c>
      <c r="B60" s="48">
        <f t="shared" si="16"/>
        <v>2.1387608894258023E-40</v>
      </c>
      <c r="C60" s="48">
        <f t="shared" si="19"/>
        <v>0.02</v>
      </c>
      <c r="D60" s="48">
        <f t="shared" si="19"/>
        <v>5.7692307692307696E-2</v>
      </c>
      <c r="F60" s="48">
        <f t="shared" si="17"/>
        <v>1.6372090441929594E-11</v>
      </c>
      <c r="G60" s="48">
        <f t="shared" si="20"/>
        <v>0.02</v>
      </c>
      <c r="H60" s="48">
        <f t="shared" si="20"/>
        <v>5.7692307692307696E-2</v>
      </c>
      <c r="J60" s="48">
        <f t="shared" si="18"/>
        <v>1.3417595794167135E-3</v>
      </c>
      <c r="K60" s="48">
        <f t="shared" si="21"/>
        <v>0.02</v>
      </c>
      <c r="L60" s="48">
        <f t="shared" si="21"/>
        <v>5.7692307692307696E-2</v>
      </c>
    </row>
    <row r="61" spans="1:12" x14ac:dyDescent="0.35">
      <c r="A61" s="39">
        <f t="shared" si="12"/>
        <v>50</v>
      </c>
      <c r="B61" s="48">
        <f t="shared" si="16"/>
        <v>1.3101029046524424E-41</v>
      </c>
      <c r="C61" s="48">
        <f t="shared" si="19"/>
        <v>0</v>
      </c>
      <c r="D61" s="48">
        <f t="shared" si="19"/>
        <v>3.8461538461538464E-2</v>
      </c>
      <c r="F61" s="48">
        <f t="shared" si="17"/>
        <v>5.0997320014861561E-12</v>
      </c>
      <c r="G61" s="48">
        <f t="shared" si="20"/>
        <v>0</v>
      </c>
      <c r="H61" s="48">
        <f t="shared" si="20"/>
        <v>3.8461538461538464E-2</v>
      </c>
      <c r="J61" s="48">
        <f t="shared" si="18"/>
        <v>8.5405914098524497E-4</v>
      </c>
      <c r="K61" s="48">
        <f t="shared" si="21"/>
        <v>0</v>
      </c>
      <c r="L61" s="48">
        <f t="shared" si="21"/>
        <v>3.8461538461538464E-2</v>
      </c>
    </row>
    <row r="62" spans="1:12" x14ac:dyDescent="0.35">
      <c r="A62" s="39">
        <f t="shared" si="12"/>
        <v>51</v>
      </c>
      <c r="B62" s="48">
        <f t="shared" si="16"/>
        <v>7.8569630265069335E-43</v>
      </c>
      <c r="C62" s="48">
        <f t="shared" si="19"/>
        <v>1.9230769230769232E-2</v>
      </c>
      <c r="D62" s="48">
        <f t="shared" si="19"/>
        <v>1.9230769230769232E-2</v>
      </c>
      <c r="F62" s="48">
        <f t="shared" si="17"/>
        <v>1.5552374188929402E-12</v>
      </c>
      <c r="G62" s="48">
        <f t="shared" si="20"/>
        <v>1.9230769230769232E-2</v>
      </c>
      <c r="H62" s="48">
        <f t="shared" si="20"/>
        <v>1.9230769230769232E-2</v>
      </c>
      <c r="J62" s="48">
        <f t="shared" si="18"/>
        <v>5.3223975452703449E-4</v>
      </c>
      <c r="K62" s="48">
        <f t="shared" si="21"/>
        <v>1.9230769230769232E-2</v>
      </c>
      <c r="L62" s="48">
        <f t="shared" si="21"/>
        <v>1.9230769230769232E-2</v>
      </c>
    </row>
    <row r="63" spans="1:12" x14ac:dyDescent="0.35">
      <c r="A63" s="39">
        <f t="shared" si="12"/>
        <v>52</v>
      </c>
      <c r="B63" s="48">
        <f t="shared" si="16"/>
        <v>4.6150490902400068E-44</v>
      </c>
      <c r="C63" s="48">
        <f t="shared" si="19"/>
        <v>0</v>
      </c>
      <c r="D63" s="48">
        <f t="shared" si="19"/>
        <v>0</v>
      </c>
      <c r="F63" s="48">
        <f t="shared" si="17"/>
        <v>4.6453490826180316E-13</v>
      </c>
      <c r="G63" s="48">
        <f t="shared" si="20"/>
        <v>0</v>
      </c>
      <c r="H63" s="48">
        <f t="shared" si="20"/>
        <v>0</v>
      </c>
      <c r="J63" s="48">
        <f t="shared" si="18"/>
        <v>3.2486205752904292E-4</v>
      </c>
      <c r="K63" s="48">
        <f t="shared" si="21"/>
        <v>0</v>
      </c>
      <c r="L63" s="48">
        <f t="shared" si="21"/>
        <v>0</v>
      </c>
    </row>
    <row r="64" spans="1:12" x14ac:dyDescent="0.35">
      <c r="A64" s="39">
        <f t="shared" si="12"/>
        <v>53</v>
      </c>
      <c r="B64" s="48">
        <f t="shared" si="16"/>
        <v>2.6560123050326654E-45</v>
      </c>
      <c r="C64" s="48">
        <f t="shared" si="19"/>
        <v>1.8518518518518517E-2</v>
      </c>
      <c r="D64" s="48">
        <f t="shared" si="19"/>
        <v>5.3571428571428568E-2</v>
      </c>
      <c r="F64" s="48">
        <f t="shared" si="17"/>
        <v>1.3594779129781202E-13</v>
      </c>
      <c r="G64" s="48">
        <f t="shared" si="20"/>
        <v>1.8518518518518517E-2</v>
      </c>
      <c r="H64" s="48">
        <f t="shared" si="20"/>
        <v>5.3571428571428568E-2</v>
      </c>
      <c r="J64" s="48">
        <f t="shared" si="18"/>
        <v>1.9427763735740136E-4</v>
      </c>
      <c r="K64" s="48">
        <f t="shared" si="21"/>
        <v>1.8518518518518517E-2</v>
      </c>
      <c r="L64" s="48">
        <f t="shared" si="21"/>
        <v>5.3571428571428568E-2</v>
      </c>
    </row>
    <row r="65" spans="1:12" x14ac:dyDescent="0.35">
      <c r="A65" s="39">
        <f t="shared" si="12"/>
        <v>54</v>
      </c>
      <c r="B65" s="48">
        <f t="shared" si="16"/>
        <v>1.4982000294930931E-46</v>
      </c>
      <c r="C65" s="48">
        <f t="shared" si="19"/>
        <v>0</v>
      </c>
      <c r="D65" s="48">
        <f t="shared" si="19"/>
        <v>3.5714285714285712E-2</v>
      </c>
      <c r="F65" s="48">
        <f t="shared" si="17"/>
        <v>3.8995268741058797E-14</v>
      </c>
      <c r="G65" s="48">
        <f t="shared" si="20"/>
        <v>0</v>
      </c>
      <c r="H65" s="48">
        <f t="shared" si="20"/>
        <v>3.5714285714285712E-2</v>
      </c>
      <c r="J65" s="48">
        <f t="shared" si="18"/>
        <v>1.138761030565121E-4</v>
      </c>
      <c r="K65" s="48">
        <f t="shared" si="21"/>
        <v>0</v>
      </c>
      <c r="L65" s="48">
        <f t="shared" si="21"/>
        <v>3.5714285714285712E-2</v>
      </c>
    </row>
    <row r="66" spans="1:12" x14ac:dyDescent="0.35">
      <c r="A66" s="39">
        <f t="shared" si="12"/>
        <v>55</v>
      </c>
      <c r="B66" s="48">
        <f t="shared" si="16"/>
        <v>8.2859750585126376E-48</v>
      </c>
      <c r="C66" s="48">
        <f t="shared" si="19"/>
        <v>1.7857142857142856E-2</v>
      </c>
      <c r="D66" s="48">
        <f t="shared" si="19"/>
        <v>1.7857142857142856E-2</v>
      </c>
      <c r="F66" s="48">
        <f t="shared" si="17"/>
        <v>1.0966947920599605E-14</v>
      </c>
      <c r="G66" s="48">
        <f t="shared" si="20"/>
        <v>1.7857142857142856E-2</v>
      </c>
      <c r="H66" s="48">
        <f t="shared" si="20"/>
        <v>1.7857142857142856E-2</v>
      </c>
      <c r="J66" s="48">
        <f t="shared" si="18"/>
        <v>6.544500151943457E-5</v>
      </c>
      <c r="K66" s="48">
        <f t="shared" si="21"/>
        <v>1.7857142857142856E-2</v>
      </c>
      <c r="L66" s="48">
        <f t="shared" si="21"/>
        <v>1.7857142857142856E-2</v>
      </c>
    </row>
    <row r="67" spans="1:12" x14ac:dyDescent="0.35">
      <c r="A67" s="39">
        <f t="shared" si="12"/>
        <v>56</v>
      </c>
      <c r="B67" s="48">
        <f t="shared" si="16"/>
        <v>4.4946338108787278E-49</v>
      </c>
      <c r="C67" s="48">
        <f t="shared" si="19"/>
        <v>0</v>
      </c>
      <c r="D67" s="48">
        <f t="shared" si="19"/>
        <v>0</v>
      </c>
      <c r="F67" s="48">
        <f t="shared" si="17"/>
        <v>3.0250775799222679E-15</v>
      </c>
      <c r="G67" s="48">
        <f t="shared" si="20"/>
        <v>0</v>
      </c>
      <c r="H67" s="48">
        <f t="shared" si="20"/>
        <v>0</v>
      </c>
      <c r="J67" s="48">
        <f t="shared" si="18"/>
        <v>3.6889030359556583E-5</v>
      </c>
      <c r="K67" s="48">
        <f t="shared" si="21"/>
        <v>0</v>
      </c>
      <c r="L67" s="48">
        <f t="shared" si="21"/>
        <v>0</v>
      </c>
    </row>
    <row r="68" spans="1:12" x14ac:dyDescent="0.35">
      <c r="A68" s="39">
        <f t="shared" si="12"/>
        <v>57</v>
      </c>
      <c r="B68" s="48">
        <f t="shared" si="16"/>
        <v>2.3919911274220774E-50</v>
      </c>
      <c r="C68" s="48">
        <f t="shared" si="19"/>
        <v>1.7241379310344827E-2</v>
      </c>
      <c r="D68" s="48">
        <f t="shared" si="19"/>
        <v>0.05</v>
      </c>
      <c r="F68" s="48">
        <f t="shared" si="17"/>
        <v>8.18656679896829E-16</v>
      </c>
      <c r="G68" s="48">
        <f t="shared" si="20"/>
        <v>1.7241379310344827E-2</v>
      </c>
      <c r="H68" s="48">
        <f t="shared" si="20"/>
        <v>0.05</v>
      </c>
      <c r="J68" s="48">
        <f t="shared" si="18"/>
        <v>2.0400112136291905E-5</v>
      </c>
      <c r="K68" s="48">
        <f t="shared" si="21"/>
        <v>1.7241379310344827E-2</v>
      </c>
      <c r="L68" s="48">
        <f t="shared" si="21"/>
        <v>0.05</v>
      </c>
    </row>
    <row r="69" spans="1:12" x14ac:dyDescent="0.35">
      <c r="A69" s="39">
        <f t="shared" si="12"/>
        <v>58</v>
      </c>
      <c r="B69" s="48">
        <f t="shared" si="16"/>
        <v>1.2493158103113707E-51</v>
      </c>
      <c r="C69" s="48">
        <f t="shared" si="19"/>
        <v>0</v>
      </c>
      <c r="D69" s="48">
        <f t="shared" si="19"/>
        <v>3.3333333333333333E-2</v>
      </c>
      <c r="F69" s="48">
        <f t="shared" si="17"/>
        <v>2.174275261354745E-16</v>
      </c>
      <c r="G69" s="48">
        <f t="shared" si="20"/>
        <v>0</v>
      </c>
      <c r="H69" s="48">
        <f t="shared" si="20"/>
        <v>3.3333333333333333E-2</v>
      </c>
      <c r="J69" s="48">
        <f t="shared" si="18"/>
        <v>1.1071725027492792E-5</v>
      </c>
      <c r="K69" s="48">
        <f t="shared" si="21"/>
        <v>0</v>
      </c>
      <c r="L69" s="48">
        <f t="shared" si="21"/>
        <v>3.3333333333333333E-2</v>
      </c>
    </row>
    <row r="70" spans="1:12" x14ac:dyDescent="0.35">
      <c r="A70" s="39">
        <f t="shared" si="12"/>
        <v>59</v>
      </c>
      <c r="B70" s="48">
        <f t="shared" si="16"/>
        <v>6.4056118775626818E-53</v>
      </c>
      <c r="C70" s="48">
        <f t="shared" si="19"/>
        <v>1.6666666666666666E-2</v>
      </c>
      <c r="D70" s="48">
        <f t="shared" si="19"/>
        <v>1.6666666666666666E-2</v>
      </c>
      <c r="F70" s="48">
        <f t="shared" si="17"/>
        <v>5.6689542515668687E-17</v>
      </c>
      <c r="G70" s="48">
        <f t="shared" si="20"/>
        <v>1.6666666666666666E-2</v>
      </c>
      <c r="H70" s="48">
        <f t="shared" si="20"/>
        <v>1.6666666666666666E-2</v>
      </c>
      <c r="J70" s="48">
        <f t="shared" si="18"/>
        <v>5.8989367685168417E-6</v>
      </c>
      <c r="K70" s="48">
        <f t="shared" si="21"/>
        <v>1.6666666666666666E-2</v>
      </c>
      <c r="L70" s="48">
        <f t="shared" si="21"/>
        <v>1.6666666666666666E-2</v>
      </c>
    </row>
    <row r="71" spans="1:12" x14ac:dyDescent="0.35">
      <c r="A71" s="39">
        <f t="shared" si="12"/>
        <v>60</v>
      </c>
      <c r="B71" s="48">
        <f t="shared" si="16"/>
        <v>3.225140708228742E-54</v>
      </c>
      <c r="C71" s="48">
        <f t="shared" si="19"/>
        <v>0</v>
      </c>
      <c r="D71" s="48">
        <f t="shared" si="19"/>
        <v>0</v>
      </c>
      <c r="F71" s="48">
        <f t="shared" si="17"/>
        <v>1.4514131097983348E-17</v>
      </c>
      <c r="G71" s="48">
        <f t="shared" si="20"/>
        <v>0</v>
      </c>
      <c r="H71" s="48">
        <f t="shared" si="20"/>
        <v>0</v>
      </c>
      <c r="J71" s="48">
        <f t="shared" si="18"/>
        <v>3.0862553238181989E-6</v>
      </c>
      <c r="K71" s="48">
        <f t="shared" si="21"/>
        <v>0</v>
      </c>
      <c r="L71" s="48">
        <f t="shared" si="21"/>
        <v>0</v>
      </c>
    </row>
    <row r="72" spans="1:12" x14ac:dyDescent="0.35">
      <c r="A72" s="39">
        <f t="shared" si="12"/>
        <v>61</v>
      </c>
      <c r="B72" s="48">
        <f t="shared" si="16"/>
        <v>1.5949835041038628E-55</v>
      </c>
      <c r="C72" s="48">
        <f t="shared" si="19"/>
        <v>1.6129032258064516E-2</v>
      </c>
      <c r="D72" s="48">
        <f t="shared" si="19"/>
        <v>4.6875E-2</v>
      </c>
      <c r="F72" s="48">
        <f t="shared" si="17"/>
        <v>3.6500483158863205E-18</v>
      </c>
      <c r="G72" s="48">
        <f t="shared" si="20"/>
        <v>1.6129032258064516E-2</v>
      </c>
      <c r="H72" s="48">
        <f t="shared" si="20"/>
        <v>4.6875E-2</v>
      </c>
      <c r="J72" s="48">
        <f t="shared" si="18"/>
        <v>1.5860228713278214E-6</v>
      </c>
      <c r="K72" s="48">
        <f t="shared" si="21"/>
        <v>1.6129032258064516E-2</v>
      </c>
      <c r="L72" s="48">
        <f t="shared" si="21"/>
        <v>4.6875E-2</v>
      </c>
    </row>
    <row r="73" spans="1:12" x14ac:dyDescent="0.35">
      <c r="A73" s="39">
        <f t="shared" si="12"/>
        <v>62</v>
      </c>
      <c r="B73" s="48">
        <f t="shared" si="16"/>
        <v>7.7499535899226191E-57</v>
      </c>
      <c r="C73" s="48">
        <f t="shared" si="19"/>
        <v>0</v>
      </c>
      <c r="D73" s="48">
        <f t="shared" si="19"/>
        <v>3.125E-2</v>
      </c>
      <c r="F73" s="48">
        <f t="shared" si="17"/>
        <v>9.0186506089159929E-19</v>
      </c>
      <c r="G73" s="48">
        <f t="shared" si="20"/>
        <v>0</v>
      </c>
      <c r="H73" s="48">
        <f t="shared" si="20"/>
        <v>3.125E-2</v>
      </c>
      <c r="J73" s="48">
        <f t="shared" si="18"/>
        <v>8.007969616802419E-7</v>
      </c>
      <c r="K73" s="48">
        <f t="shared" si="21"/>
        <v>0</v>
      </c>
      <c r="L73" s="48">
        <f t="shared" si="21"/>
        <v>3.125E-2</v>
      </c>
    </row>
    <row r="74" spans="1:12" x14ac:dyDescent="0.35">
      <c r="A74" s="39">
        <f t="shared" si="12"/>
        <v>63</v>
      </c>
      <c r="B74" s="48">
        <f t="shared" si="16"/>
        <v>3.7007482441087608E-58</v>
      </c>
      <c r="C74" s="48">
        <f t="shared" si="19"/>
        <v>1.5625E-2</v>
      </c>
      <c r="D74" s="48">
        <f t="shared" si="19"/>
        <v>1.5625E-2</v>
      </c>
      <c r="F74" s="48">
        <f t="shared" si="17"/>
        <v>2.1899391380650014E-19</v>
      </c>
      <c r="G74" s="48">
        <f t="shared" si="20"/>
        <v>1.5625E-2</v>
      </c>
      <c r="H74" s="48">
        <f t="shared" si="20"/>
        <v>1.5625E-2</v>
      </c>
      <c r="J74" s="48">
        <f t="shared" si="18"/>
        <v>3.973588788461657E-7</v>
      </c>
      <c r="K74" s="48">
        <f t="shared" si="21"/>
        <v>1.5625E-2</v>
      </c>
      <c r="L74" s="48">
        <f t="shared" si="21"/>
        <v>1.5625E-2</v>
      </c>
    </row>
    <row r="75" spans="1:12" x14ac:dyDescent="0.35">
      <c r="A75" s="39">
        <f t="shared" si="12"/>
        <v>64</v>
      </c>
      <c r="B75" s="48">
        <f t="shared" ref="B75:B111" si="22">IF($A75&gt;Annual_target_population,0,IF(mdvp=no,_xlfn.BINOM.DIST($A75,Annual_target_population*No._of_doses_in_the_schedule*Target_coverage,1/(No._of_weeks_in_year*B$10),FALSE),_xlfn.BINOM.DIST($A75,Annual_target_population*No._of_doses_in_the_schedule*Target_coverage,mdvp/(No._of_weeks_in_year*B$10),FALSE)))</f>
        <v>1.737145161656697E-59</v>
      </c>
      <c r="C75" s="48">
        <f t="shared" si="19"/>
        <v>0</v>
      </c>
      <c r="D75" s="48">
        <f t="shared" si="19"/>
        <v>0</v>
      </c>
      <c r="F75" s="48">
        <f t="shared" ref="F75:F111" si="23">IF($A75&gt;Annual_target_population,0,IF(mdvp=no,_xlfn.BINOM.DIST($A75,Annual_target_population*No._of_doses_in_the_schedule*Target_coverage,1/(No._of_weeks_in_year*F$10),FALSE),_xlfn.BINOM.DIST($A75,Annual_target_population*No._of_doses_in_the_schedule*Target_coverage,mdvp/(No._of_weeks_in_year*F$10),FALSE)))</f>
        <v>5.2273148308865716E-20</v>
      </c>
      <c r="G75" s="48">
        <f t="shared" si="20"/>
        <v>0</v>
      </c>
      <c r="H75" s="48">
        <f t="shared" si="20"/>
        <v>0</v>
      </c>
      <c r="J75" s="48">
        <f t="shared" ref="J75:J111" si="24">IF($A75&gt;Annual_target_population,0,IF(mdvp=no,_xlfn.BINOM.DIST($A75,Annual_target_population*No._of_doses_in_the_schedule*Target_coverage,1/(No._of_weeks_in_year*J$10),FALSE),_xlfn.BINOM.DIST($A75,Annual_target_population*No._of_doses_in_the_schedule*Target_coverage,mdvp/(No._of_weeks_in_year*J$10),FALSE)))</f>
        <v>1.9382043139371497E-7</v>
      </c>
      <c r="K75" s="48">
        <f t="shared" si="21"/>
        <v>0</v>
      </c>
      <c r="L75" s="48">
        <f t="shared" si="21"/>
        <v>0</v>
      </c>
    </row>
    <row r="76" spans="1:12" x14ac:dyDescent="0.35">
      <c r="A76" s="39">
        <f t="shared" ref="A76:A111" si="25">A75+1</f>
        <v>65</v>
      </c>
      <c r="B76" s="48">
        <f t="shared" si="22"/>
        <v>8.0175930538002937E-61</v>
      </c>
      <c r="C76" s="48">
        <f t="shared" ref="C76:D101" si="26">IFERROR(IF(MOD($A76,C$10)=0,0,(C$10-MOD($A76,C$10))/(ROUNDUP($A76/C$10,0)*C$10)),"")</f>
        <v>1.5151515151515152E-2</v>
      </c>
      <c r="D76" s="48">
        <f t="shared" si="26"/>
        <v>4.4117647058823532E-2</v>
      </c>
      <c r="F76" s="48">
        <f t="shared" si="23"/>
        <v>1.2268362467252599E-20</v>
      </c>
      <c r="G76" s="48">
        <f t="shared" ref="G76:H101" si="27">IFERROR(IF(MOD($A76,G$10)=0,0,(G$10-MOD($A76,G$10))/(ROUNDUP($A76/G$10,0)*G$10)),"")</f>
        <v>1.5151515151515152E-2</v>
      </c>
      <c r="H76" s="48">
        <f t="shared" si="27"/>
        <v>4.4117647058823532E-2</v>
      </c>
      <c r="J76" s="48">
        <f t="shared" si="24"/>
        <v>9.2956019604878872E-8</v>
      </c>
      <c r="K76" s="48">
        <f t="shared" ref="K76:L101" si="28">IFERROR(IF(MOD($A76,K$10)=0,0,(K$10-MOD($A76,K$10))/(ROUNDUP($A76/K$10,0)*K$10)),"")</f>
        <v>1.5151515151515152E-2</v>
      </c>
      <c r="L76" s="48">
        <f t="shared" si="28"/>
        <v>4.4117647058823532E-2</v>
      </c>
    </row>
    <row r="77" spans="1:12" x14ac:dyDescent="0.35">
      <c r="A77" s="39">
        <f t="shared" si="25"/>
        <v>66</v>
      </c>
      <c r="B77" s="48">
        <f t="shared" si="22"/>
        <v>3.6392776889316391E-62</v>
      </c>
      <c r="C77" s="48">
        <f t="shared" si="26"/>
        <v>0</v>
      </c>
      <c r="D77" s="48">
        <f t="shared" si="26"/>
        <v>2.9411764705882353E-2</v>
      </c>
      <c r="F77" s="48">
        <f t="shared" si="23"/>
        <v>2.8317690285470861E-21</v>
      </c>
      <c r="G77" s="48">
        <f t="shared" si="27"/>
        <v>0</v>
      </c>
      <c r="H77" s="48">
        <f t="shared" si="27"/>
        <v>2.9411764705882353E-2</v>
      </c>
      <c r="J77" s="48">
        <f t="shared" si="24"/>
        <v>4.3844868272129813E-8</v>
      </c>
      <c r="K77" s="48">
        <f t="shared" si="28"/>
        <v>0</v>
      </c>
      <c r="L77" s="48">
        <f t="shared" si="28"/>
        <v>2.9411764705882353E-2</v>
      </c>
    </row>
    <row r="78" spans="1:12" x14ac:dyDescent="0.35">
      <c r="A78" s="39">
        <f t="shared" si="25"/>
        <v>67</v>
      </c>
      <c r="B78" s="48">
        <f t="shared" si="22"/>
        <v>1.6249819194318054E-63</v>
      </c>
      <c r="C78" s="48">
        <f t="shared" si="26"/>
        <v>1.4705882352941176E-2</v>
      </c>
      <c r="D78" s="48">
        <f t="shared" si="26"/>
        <v>1.4705882352941176E-2</v>
      </c>
      <c r="F78" s="48">
        <f t="shared" si="23"/>
        <v>6.4297073846018413E-22</v>
      </c>
      <c r="G78" s="48">
        <f t="shared" si="27"/>
        <v>1.4705882352941176E-2</v>
      </c>
      <c r="H78" s="48">
        <f t="shared" si="27"/>
        <v>1.4705882352941176E-2</v>
      </c>
      <c r="J78" s="48">
        <f t="shared" si="24"/>
        <v>2.0343336025031045E-8</v>
      </c>
      <c r="K78" s="48">
        <f t="shared" si="28"/>
        <v>1.4705882352941176E-2</v>
      </c>
      <c r="L78" s="48">
        <f t="shared" si="28"/>
        <v>1.4705882352941176E-2</v>
      </c>
    </row>
    <row r="79" spans="1:12" x14ac:dyDescent="0.35">
      <c r="A79" s="39">
        <f t="shared" si="25"/>
        <v>68</v>
      </c>
      <c r="B79" s="48">
        <f t="shared" si="22"/>
        <v>7.13904190545364E-65</v>
      </c>
      <c r="C79" s="48">
        <f t="shared" si="26"/>
        <v>0</v>
      </c>
      <c r="D79" s="48">
        <f t="shared" si="26"/>
        <v>0</v>
      </c>
      <c r="F79" s="48">
        <f t="shared" si="23"/>
        <v>1.4364239901770296E-22</v>
      </c>
      <c r="G79" s="48">
        <f t="shared" si="27"/>
        <v>0</v>
      </c>
      <c r="H79" s="48">
        <f t="shared" si="27"/>
        <v>0</v>
      </c>
      <c r="J79" s="48">
        <f t="shared" si="24"/>
        <v>9.2871751418620014E-9</v>
      </c>
      <c r="K79" s="48">
        <f t="shared" si="28"/>
        <v>0</v>
      </c>
      <c r="L79" s="48">
        <f t="shared" si="28"/>
        <v>0</v>
      </c>
    </row>
    <row r="80" spans="1:12" x14ac:dyDescent="0.35">
      <c r="A80" s="39">
        <f t="shared" si="25"/>
        <v>69</v>
      </c>
      <c r="B80" s="48">
        <f t="shared" si="22"/>
        <v>3.0866150497777489E-66</v>
      </c>
      <c r="C80" s="48">
        <f t="shared" si="26"/>
        <v>1.4285714285714285E-2</v>
      </c>
      <c r="D80" s="48">
        <f t="shared" si="26"/>
        <v>4.1666666666666664E-2</v>
      </c>
      <c r="F80" s="48">
        <f t="shared" si="23"/>
        <v>3.1580952975522962E-23</v>
      </c>
      <c r="G80" s="48">
        <f t="shared" si="27"/>
        <v>1.4285714285714285E-2</v>
      </c>
      <c r="H80" s="48">
        <f t="shared" si="27"/>
        <v>4.1666666666666664E-2</v>
      </c>
      <c r="J80" s="48">
        <f t="shared" si="24"/>
        <v>4.1724989767785706E-9</v>
      </c>
      <c r="K80" s="48">
        <f t="shared" si="28"/>
        <v>1.4285714285714285E-2</v>
      </c>
      <c r="L80" s="48">
        <f t="shared" si="28"/>
        <v>4.1666666666666664E-2</v>
      </c>
    </row>
    <row r="81" spans="1:12" x14ac:dyDescent="0.35">
      <c r="A81" s="39">
        <f t="shared" si="25"/>
        <v>70</v>
      </c>
      <c r="B81" s="48">
        <f t="shared" si="22"/>
        <v>1.3136102303895589E-67</v>
      </c>
      <c r="C81" s="48">
        <f t="shared" si="26"/>
        <v>0</v>
      </c>
      <c r="D81" s="48">
        <f t="shared" si="26"/>
        <v>2.7777777777777776E-2</v>
      </c>
      <c r="F81" s="48">
        <f t="shared" si="23"/>
        <v>6.8345405831528152E-24</v>
      </c>
      <c r="G81" s="48">
        <f t="shared" si="27"/>
        <v>0</v>
      </c>
      <c r="H81" s="48">
        <f t="shared" si="27"/>
        <v>2.7777777777777776E-2</v>
      </c>
      <c r="J81" s="48">
        <f t="shared" si="24"/>
        <v>1.8452293611592282E-9</v>
      </c>
      <c r="K81" s="48">
        <f t="shared" si="28"/>
        <v>0</v>
      </c>
      <c r="L81" s="48">
        <f t="shared" si="28"/>
        <v>2.7777777777777776E-2</v>
      </c>
    </row>
    <row r="82" spans="1:12" x14ac:dyDescent="0.35">
      <c r="A82" s="39">
        <f t="shared" si="25"/>
        <v>71</v>
      </c>
      <c r="B82" s="48">
        <f t="shared" si="22"/>
        <v>5.5040183499733814E-69</v>
      </c>
      <c r="C82" s="48">
        <f t="shared" si="26"/>
        <v>1.3888888888888888E-2</v>
      </c>
      <c r="D82" s="48">
        <f t="shared" si="26"/>
        <v>1.3888888888888888E-2</v>
      </c>
      <c r="F82" s="48">
        <f t="shared" si="23"/>
        <v>1.4562056801383149E-24</v>
      </c>
      <c r="G82" s="48">
        <f t="shared" si="27"/>
        <v>1.3888888888888888E-2</v>
      </c>
      <c r="H82" s="48">
        <f t="shared" si="27"/>
        <v>1.3888888888888888E-2</v>
      </c>
      <c r="J82" s="48">
        <f t="shared" si="24"/>
        <v>8.0340359815321221E-10</v>
      </c>
      <c r="K82" s="48">
        <f t="shared" si="28"/>
        <v>1.3888888888888888E-2</v>
      </c>
      <c r="L82" s="48">
        <f t="shared" si="28"/>
        <v>1.3888888888888888E-2</v>
      </c>
    </row>
    <row r="83" spans="1:12" x14ac:dyDescent="0.35">
      <c r="A83" s="39">
        <f t="shared" si="25"/>
        <v>72</v>
      </c>
      <c r="B83" s="48">
        <f t="shared" si="22"/>
        <v>2.2709513182712309E-70</v>
      </c>
      <c r="C83" s="48">
        <f t="shared" si="26"/>
        <v>0</v>
      </c>
      <c r="D83" s="48">
        <f t="shared" si="26"/>
        <v>0</v>
      </c>
      <c r="F83" s="48">
        <f t="shared" si="23"/>
        <v>3.0552778749947204E-25</v>
      </c>
      <c r="G83" s="48">
        <f t="shared" si="27"/>
        <v>0</v>
      </c>
      <c r="H83" s="48">
        <f t="shared" si="27"/>
        <v>0</v>
      </c>
      <c r="J83" s="48">
        <f t="shared" si="24"/>
        <v>3.444544412371864E-10</v>
      </c>
      <c r="K83" s="48">
        <f t="shared" si="28"/>
        <v>0</v>
      </c>
      <c r="L83" s="48">
        <f t="shared" si="28"/>
        <v>0</v>
      </c>
    </row>
    <row r="84" spans="1:12" x14ac:dyDescent="0.35">
      <c r="A84" s="39">
        <f t="shared" si="25"/>
        <v>73</v>
      </c>
      <c r="B84" s="48">
        <f t="shared" si="22"/>
        <v>9.228546367021904E-72</v>
      </c>
      <c r="C84" s="48">
        <f t="shared" si="26"/>
        <v>1.3513513513513514E-2</v>
      </c>
      <c r="D84" s="48">
        <f t="shared" si="26"/>
        <v>3.9473684210526314E-2</v>
      </c>
      <c r="F84" s="48">
        <f t="shared" si="23"/>
        <v>6.313587914226877E-26</v>
      </c>
      <c r="G84" s="48">
        <f t="shared" si="27"/>
        <v>1.3513513513513514E-2</v>
      </c>
      <c r="H84" s="48">
        <f t="shared" si="27"/>
        <v>3.9473684210526314E-2</v>
      </c>
      <c r="J84" s="48">
        <f t="shared" si="24"/>
        <v>1.4545455559092733E-10</v>
      </c>
      <c r="K84" s="48">
        <f t="shared" si="28"/>
        <v>1.3513513513513514E-2</v>
      </c>
      <c r="L84" s="48">
        <f t="shared" si="28"/>
        <v>3.9473684210526314E-2</v>
      </c>
    </row>
    <row r="85" spans="1:12" x14ac:dyDescent="0.35">
      <c r="A85" s="39">
        <f t="shared" si="25"/>
        <v>74</v>
      </c>
      <c r="B85" s="48">
        <f t="shared" si="22"/>
        <v>3.6943406241385736E-73</v>
      </c>
      <c r="C85" s="48">
        <f t="shared" si="26"/>
        <v>0</v>
      </c>
      <c r="D85" s="48">
        <f t="shared" si="26"/>
        <v>2.6315789473684209E-2</v>
      </c>
      <c r="F85" s="48">
        <f t="shared" si="23"/>
        <v>1.2852272119817759E-26</v>
      </c>
      <c r="G85" s="48">
        <f t="shared" si="27"/>
        <v>0</v>
      </c>
      <c r="H85" s="48">
        <f t="shared" si="27"/>
        <v>2.6315789473684209E-2</v>
      </c>
      <c r="J85" s="48">
        <f t="shared" si="24"/>
        <v>6.0506360375074023E-11</v>
      </c>
      <c r="K85" s="48">
        <f t="shared" si="28"/>
        <v>0</v>
      </c>
      <c r="L85" s="48">
        <f t="shared" si="28"/>
        <v>2.6315789473684209E-2</v>
      </c>
    </row>
    <row r="86" spans="1:12" x14ac:dyDescent="0.35">
      <c r="A86" s="39">
        <f t="shared" si="25"/>
        <v>75</v>
      </c>
      <c r="B86" s="48">
        <f t="shared" si="22"/>
        <v>1.457126260120505E-74</v>
      </c>
      <c r="C86" s="48">
        <f t="shared" si="26"/>
        <v>1.3157894736842105E-2</v>
      </c>
      <c r="D86" s="48">
        <f t="shared" si="26"/>
        <v>1.3157894736842105E-2</v>
      </c>
      <c r="F86" s="48">
        <f t="shared" si="23"/>
        <v>2.5777464932513915E-27</v>
      </c>
      <c r="G86" s="48">
        <f t="shared" si="27"/>
        <v>1.3157894736842105E-2</v>
      </c>
      <c r="H86" s="48">
        <f t="shared" si="27"/>
        <v>1.3157894736842105E-2</v>
      </c>
      <c r="J86" s="48">
        <f t="shared" si="24"/>
        <v>2.4798838716044676E-11</v>
      </c>
      <c r="K86" s="48">
        <f t="shared" si="28"/>
        <v>1.3157894736842105E-2</v>
      </c>
      <c r="L86" s="48">
        <f t="shared" si="28"/>
        <v>1.3157894736842105E-2</v>
      </c>
    </row>
    <row r="87" spans="1:12" x14ac:dyDescent="0.35">
      <c r="A87" s="39">
        <f t="shared" si="25"/>
        <v>76</v>
      </c>
      <c r="B87" s="48">
        <f t="shared" si="22"/>
        <v>5.6635715681846918E-76</v>
      </c>
      <c r="C87" s="48">
        <f t="shared" si="26"/>
        <v>0</v>
      </c>
      <c r="D87" s="48">
        <f t="shared" si="26"/>
        <v>0</v>
      </c>
      <c r="F87" s="48">
        <f t="shared" si="23"/>
        <v>5.0948740880053412E-28</v>
      </c>
      <c r="G87" s="48">
        <f t="shared" si="27"/>
        <v>0</v>
      </c>
      <c r="H87" s="48">
        <f t="shared" si="27"/>
        <v>0</v>
      </c>
      <c r="J87" s="48">
        <f t="shared" si="24"/>
        <v>1.0016006941377456E-11</v>
      </c>
      <c r="K87" s="48">
        <f t="shared" si="28"/>
        <v>0</v>
      </c>
      <c r="L87" s="48">
        <f t="shared" si="28"/>
        <v>0</v>
      </c>
    </row>
    <row r="88" spans="1:12" x14ac:dyDescent="0.35">
      <c r="A88" s="39">
        <f t="shared" si="25"/>
        <v>77</v>
      </c>
      <c r="B88" s="48">
        <f t="shared" si="22"/>
        <v>2.1696560101994724E-77</v>
      </c>
      <c r="C88" s="48">
        <f t="shared" si="26"/>
        <v>1.282051282051282E-2</v>
      </c>
      <c r="D88" s="48">
        <f t="shared" si="26"/>
        <v>3.7499999999999999E-2</v>
      </c>
      <c r="F88" s="48">
        <f t="shared" si="23"/>
        <v>9.925079392218268E-29</v>
      </c>
      <c r="G88" s="48">
        <f t="shared" si="27"/>
        <v>1.282051282051282E-2</v>
      </c>
      <c r="H88" s="48">
        <f t="shared" si="27"/>
        <v>3.7499999999999999E-2</v>
      </c>
      <c r="J88" s="48">
        <f t="shared" si="24"/>
        <v>3.987173853004539E-12</v>
      </c>
      <c r="K88" s="48">
        <f t="shared" si="28"/>
        <v>1.282051282051282E-2</v>
      </c>
      <c r="L88" s="48">
        <f t="shared" si="28"/>
        <v>3.7499999999999999E-2</v>
      </c>
    </row>
    <row r="89" spans="1:12" x14ac:dyDescent="0.35">
      <c r="A89" s="39">
        <f t="shared" si="25"/>
        <v>78</v>
      </c>
      <c r="B89" s="48">
        <f t="shared" si="22"/>
        <v>8.1935298314579537E-79</v>
      </c>
      <c r="C89" s="48">
        <f t="shared" si="26"/>
        <v>0</v>
      </c>
      <c r="D89" s="48">
        <f t="shared" si="26"/>
        <v>2.5000000000000001E-2</v>
      </c>
      <c r="F89" s="48">
        <f t="shared" si="23"/>
        <v>1.9059617818116615E-29</v>
      </c>
      <c r="G89" s="48">
        <f t="shared" si="27"/>
        <v>0</v>
      </c>
      <c r="H89" s="48">
        <f t="shared" si="27"/>
        <v>2.5000000000000001E-2</v>
      </c>
      <c r="J89" s="48">
        <f t="shared" si="24"/>
        <v>1.564643474088759E-12</v>
      </c>
      <c r="K89" s="48">
        <f t="shared" si="28"/>
        <v>0</v>
      </c>
      <c r="L89" s="48">
        <f t="shared" si="28"/>
        <v>2.5000000000000001E-2</v>
      </c>
    </row>
    <row r="90" spans="1:12" x14ac:dyDescent="0.35">
      <c r="A90" s="39">
        <f t="shared" si="25"/>
        <v>79</v>
      </c>
      <c r="B90" s="48">
        <f t="shared" si="22"/>
        <v>3.0507131357000262E-80</v>
      </c>
      <c r="C90" s="48">
        <f t="shared" si="26"/>
        <v>1.2500000000000001E-2</v>
      </c>
      <c r="D90" s="48">
        <f t="shared" si="26"/>
        <v>1.2500000000000001E-2</v>
      </c>
      <c r="F90" s="48">
        <f t="shared" si="23"/>
        <v>3.6086483506964662E-30</v>
      </c>
      <c r="G90" s="48">
        <f t="shared" si="27"/>
        <v>1.2500000000000001E-2</v>
      </c>
      <c r="H90" s="48">
        <f t="shared" si="27"/>
        <v>1.2500000000000001E-2</v>
      </c>
      <c r="J90" s="48">
        <f t="shared" si="24"/>
        <v>6.0536288513175899E-13</v>
      </c>
      <c r="K90" s="48">
        <f t="shared" si="28"/>
        <v>1.2500000000000001E-2</v>
      </c>
      <c r="L90" s="48">
        <f t="shared" si="28"/>
        <v>1.2500000000000001E-2</v>
      </c>
    </row>
    <row r="91" spans="1:12" x14ac:dyDescent="0.35">
      <c r="A91" s="39">
        <f t="shared" si="25"/>
        <v>80</v>
      </c>
      <c r="B91" s="48">
        <f t="shared" si="22"/>
        <v>1.1200840069358964E-81</v>
      </c>
      <c r="C91" s="48">
        <f t="shared" si="26"/>
        <v>0</v>
      </c>
      <c r="D91" s="48">
        <f t="shared" si="26"/>
        <v>0</v>
      </c>
      <c r="F91" s="48">
        <f t="shared" si="23"/>
        <v>6.737423250502407E-31</v>
      </c>
      <c r="G91" s="48">
        <f t="shared" si="27"/>
        <v>0</v>
      </c>
      <c r="H91" s="48">
        <f t="shared" si="27"/>
        <v>0</v>
      </c>
      <c r="J91" s="48">
        <f t="shared" si="24"/>
        <v>2.3095910074048027E-13</v>
      </c>
      <c r="K91" s="48">
        <f t="shared" si="28"/>
        <v>0</v>
      </c>
      <c r="L91" s="48">
        <f t="shared" si="28"/>
        <v>0</v>
      </c>
    </row>
    <row r="92" spans="1:12" x14ac:dyDescent="0.35">
      <c r="A92" s="39">
        <f t="shared" si="25"/>
        <v>81</v>
      </c>
      <c r="B92" s="48">
        <f t="shared" si="22"/>
        <v>4.0558855770548889E-83</v>
      </c>
      <c r="C92" s="48">
        <f t="shared" si="26"/>
        <v>1.2195121951219513E-2</v>
      </c>
      <c r="D92" s="48">
        <f t="shared" si="26"/>
        <v>3.5714285714285712E-2</v>
      </c>
      <c r="F92" s="48">
        <f t="shared" si="23"/>
        <v>1.2405919880751815E-31</v>
      </c>
      <c r="G92" s="48">
        <f t="shared" si="27"/>
        <v>1.2195121951219513E-2</v>
      </c>
      <c r="H92" s="48">
        <f t="shared" si="27"/>
        <v>3.5714285714285712E-2</v>
      </c>
      <c r="J92" s="48">
        <f t="shared" si="24"/>
        <v>8.6904095340353989E-14</v>
      </c>
      <c r="K92" s="48">
        <f t="shared" si="28"/>
        <v>1.2195121951219513E-2</v>
      </c>
      <c r="L92" s="48">
        <f t="shared" si="28"/>
        <v>3.5714285714285712E-2</v>
      </c>
    </row>
    <row r="93" spans="1:12" x14ac:dyDescent="0.35">
      <c r="A93" s="39">
        <f t="shared" si="25"/>
        <v>82</v>
      </c>
      <c r="B93" s="48">
        <f t="shared" si="22"/>
        <v>1.4486783875591633E-84</v>
      </c>
      <c r="C93" s="48">
        <f t="shared" si="26"/>
        <v>0</v>
      </c>
      <c r="D93" s="48">
        <f t="shared" si="26"/>
        <v>2.3809523809523808E-2</v>
      </c>
      <c r="F93" s="48">
        <f t="shared" si="23"/>
        <v>2.2532807256165648E-32</v>
      </c>
      <c r="G93" s="48">
        <f t="shared" si="27"/>
        <v>0</v>
      </c>
      <c r="H93" s="48">
        <f t="shared" si="27"/>
        <v>2.3809523809523808E-2</v>
      </c>
      <c r="J93" s="48">
        <f t="shared" si="24"/>
        <v>3.2254966457182921E-14</v>
      </c>
      <c r="K93" s="48">
        <f t="shared" si="28"/>
        <v>0</v>
      </c>
      <c r="L93" s="48">
        <f t="shared" si="28"/>
        <v>2.3809523809523808E-2</v>
      </c>
    </row>
    <row r="94" spans="1:12" x14ac:dyDescent="0.35">
      <c r="A94" s="39">
        <f t="shared" si="25"/>
        <v>83</v>
      </c>
      <c r="B94" s="48">
        <f t="shared" si="22"/>
        <v>5.1047345511105954E-86</v>
      </c>
      <c r="C94" s="48">
        <f t="shared" si="26"/>
        <v>1.1904761904761904E-2</v>
      </c>
      <c r="D94" s="48">
        <f t="shared" si="26"/>
        <v>1.1904761904761904E-2</v>
      </c>
      <c r="F94" s="48">
        <f t="shared" si="23"/>
        <v>4.0375371115252464E-33</v>
      </c>
      <c r="G94" s="48">
        <f t="shared" si="27"/>
        <v>1.1904761904761904E-2</v>
      </c>
      <c r="H94" s="48">
        <f t="shared" si="27"/>
        <v>1.1904761904761904E-2</v>
      </c>
      <c r="J94" s="48">
        <f t="shared" si="24"/>
        <v>1.1810487979869732E-14</v>
      </c>
      <c r="K94" s="48">
        <f t="shared" si="28"/>
        <v>1.1904761904761904E-2</v>
      </c>
      <c r="L94" s="48">
        <f t="shared" si="28"/>
        <v>1.1904761904761904E-2</v>
      </c>
    </row>
    <row r="95" spans="1:12" x14ac:dyDescent="0.35">
      <c r="A95" s="39">
        <f t="shared" si="25"/>
        <v>84</v>
      </c>
      <c r="B95" s="48">
        <f t="shared" si="22"/>
        <v>1.7748080876048071E-87</v>
      </c>
      <c r="C95" s="48">
        <f t="shared" si="26"/>
        <v>0</v>
      </c>
      <c r="D95" s="48">
        <f t="shared" si="26"/>
        <v>0</v>
      </c>
      <c r="F95" s="48">
        <f t="shared" si="23"/>
        <v>7.1383001617137682E-34</v>
      </c>
      <c r="G95" s="48">
        <f t="shared" si="27"/>
        <v>0</v>
      </c>
      <c r="H95" s="48">
        <f t="shared" si="27"/>
        <v>0</v>
      </c>
      <c r="J95" s="48">
        <f t="shared" si="24"/>
        <v>4.266936133513931E-15</v>
      </c>
      <c r="K95" s="48">
        <f t="shared" si="28"/>
        <v>0</v>
      </c>
      <c r="L95" s="48">
        <f t="shared" si="28"/>
        <v>0</v>
      </c>
    </row>
    <row r="96" spans="1:12" x14ac:dyDescent="0.35">
      <c r="A96" s="39">
        <f t="shared" si="25"/>
        <v>85</v>
      </c>
      <c r="B96" s="48">
        <f t="shared" si="22"/>
        <v>6.0892997147944792E-89</v>
      </c>
      <c r="C96" s="48">
        <f t="shared" si="26"/>
        <v>1.1627906976744186E-2</v>
      </c>
      <c r="D96" s="48">
        <f t="shared" si="26"/>
        <v>3.4090909090909088E-2</v>
      </c>
      <c r="F96" s="48">
        <f t="shared" si="23"/>
        <v>1.2454055601288227E-34</v>
      </c>
      <c r="G96" s="48">
        <f t="shared" si="27"/>
        <v>1.1627906976744186E-2</v>
      </c>
      <c r="H96" s="48">
        <f t="shared" si="27"/>
        <v>3.4090909090909088E-2</v>
      </c>
      <c r="J96" s="48">
        <f t="shared" si="24"/>
        <v>1.5212554910788892E-15</v>
      </c>
      <c r="K96" s="48">
        <f t="shared" si="28"/>
        <v>1.1627906976744186E-2</v>
      </c>
      <c r="L96" s="48">
        <f t="shared" si="28"/>
        <v>3.4090909090909088E-2</v>
      </c>
    </row>
    <row r="97" spans="1:12" x14ac:dyDescent="0.35">
      <c r="A97" s="39">
        <f t="shared" si="25"/>
        <v>86</v>
      </c>
      <c r="B97" s="48">
        <f t="shared" si="22"/>
        <v>2.0619600085126422E-90</v>
      </c>
      <c r="C97" s="48">
        <f t="shared" si="26"/>
        <v>0</v>
      </c>
      <c r="D97" s="48">
        <f t="shared" si="26"/>
        <v>2.2727272727272728E-2</v>
      </c>
      <c r="F97" s="48">
        <f t="shared" si="23"/>
        <v>2.1444885449026095E-35</v>
      </c>
      <c r="G97" s="48">
        <f t="shared" si="27"/>
        <v>0</v>
      </c>
      <c r="H97" s="48">
        <f t="shared" si="27"/>
        <v>2.2727272727272728E-2</v>
      </c>
      <c r="J97" s="48">
        <f t="shared" si="24"/>
        <v>5.3528504640591813E-16</v>
      </c>
      <c r="K97" s="48">
        <f t="shared" si="28"/>
        <v>0</v>
      </c>
      <c r="L97" s="48">
        <f t="shared" si="28"/>
        <v>2.2727272727272728E-2</v>
      </c>
    </row>
    <row r="98" spans="1:12" x14ac:dyDescent="0.35">
      <c r="A98" s="39">
        <f t="shared" si="25"/>
        <v>87</v>
      </c>
      <c r="B98" s="48">
        <f t="shared" si="22"/>
        <v>6.8920415808987739E-92</v>
      </c>
      <c r="C98" s="48">
        <f t="shared" si="26"/>
        <v>1.1363636363636364E-2</v>
      </c>
      <c r="D98" s="48">
        <f t="shared" si="26"/>
        <v>1.1363636363636364E-2</v>
      </c>
      <c r="F98" s="48">
        <f t="shared" si="23"/>
        <v>3.6449487373620256E-36</v>
      </c>
      <c r="G98" s="48">
        <f t="shared" si="27"/>
        <v>1.1363636363636364E-2</v>
      </c>
      <c r="H98" s="48">
        <f t="shared" si="27"/>
        <v>1.1363636363636364E-2</v>
      </c>
      <c r="J98" s="48">
        <f t="shared" si="24"/>
        <v>1.8591859432889126E-16</v>
      </c>
      <c r="K98" s="48">
        <f t="shared" si="28"/>
        <v>1.1363636363636364E-2</v>
      </c>
      <c r="L98" s="48">
        <f t="shared" si="28"/>
        <v>1.1363636363636364E-2</v>
      </c>
    </row>
    <row r="99" spans="1:12" x14ac:dyDescent="0.35">
      <c r="A99" s="39">
        <f t="shared" si="25"/>
        <v>88</v>
      </c>
      <c r="B99" s="48">
        <f t="shared" si="22"/>
        <v>2.2741902135526113E-93</v>
      </c>
      <c r="C99" s="48">
        <f t="shared" si="26"/>
        <v>0</v>
      </c>
      <c r="D99" s="48">
        <f t="shared" si="26"/>
        <v>0</v>
      </c>
      <c r="F99" s="48">
        <f t="shared" si="23"/>
        <v>6.116040676327844E-37</v>
      </c>
      <c r="G99" s="48">
        <f t="shared" si="27"/>
        <v>0</v>
      </c>
      <c r="H99" s="48">
        <f t="shared" si="27"/>
        <v>0</v>
      </c>
      <c r="J99" s="48">
        <f t="shared" si="24"/>
        <v>6.3748767027791696E-17</v>
      </c>
      <c r="K99" s="48">
        <f t="shared" si="28"/>
        <v>0</v>
      </c>
      <c r="L99" s="48">
        <f t="shared" si="28"/>
        <v>0</v>
      </c>
    </row>
    <row r="100" spans="1:12" x14ac:dyDescent="0.35">
      <c r="A100" s="39">
        <f t="shared" si="25"/>
        <v>89</v>
      </c>
      <c r="B100" s="48">
        <f t="shared" si="22"/>
        <v>7.4092135677307566E-95</v>
      </c>
      <c r="C100" s="48">
        <f t="shared" si="26"/>
        <v>1.1111111111111112E-2</v>
      </c>
      <c r="D100" s="48">
        <f t="shared" si="26"/>
        <v>3.2608695652173912E-2</v>
      </c>
      <c r="F100" s="48">
        <f t="shared" si="23"/>
        <v>1.0132479533098768E-37</v>
      </c>
      <c r="G100" s="48">
        <f t="shared" si="27"/>
        <v>1.1111111111111112E-2</v>
      </c>
      <c r="H100" s="48">
        <f t="shared" si="27"/>
        <v>3.2608695652173912E-2</v>
      </c>
      <c r="J100" s="48">
        <f t="shared" si="24"/>
        <v>2.1581776038231573E-17</v>
      </c>
      <c r="K100" s="48">
        <f t="shared" si="28"/>
        <v>1.1111111111111112E-2</v>
      </c>
      <c r="L100" s="48">
        <f t="shared" si="28"/>
        <v>3.2608695652173912E-2</v>
      </c>
    </row>
    <row r="101" spans="1:12" x14ac:dyDescent="0.35">
      <c r="A101" s="39">
        <f t="shared" si="25"/>
        <v>90</v>
      </c>
      <c r="B101" s="48">
        <f t="shared" si="22"/>
        <v>2.3836242626078576E-96</v>
      </c>
      <c r="C101" s="48">
        <f t="shared" si="26"/>
        <v>0</v>
      </c>
      <c r="D101" s="48">
        <f t="shared" si="26"/>
        <v>2.1739130434782608E-2</v>
      </c>
      <c r="F101" s="48">
        <f t="shared" si="23"/>
        <v>1.657606580828489E-38</v>
      </c>
      <c r="G101" s="48">
        <f t="shared" si="27"/>
        <v>0</v>
      </c>
      <c r="H101" s="48">
        <f t="shared" si="27"/>
        <v>2.1739130434782608E-2</v>
      </c>
      <c r="J101" s="48">
        <f t="shared" si="24"/>
        <v>7.214777303602145E-18</v>
      </c>
      <c r="K101" s="48">
        <f t="shared" si="28"/>
        <v>0</v>
      </c>
      <c r="L101" s="48">
        <f t="shared" si="28"/>
        <v>2.1739130434782608E-2</v>
      </c>
    </row>
    <row r="102" spans="1:12" x14ac:dyDescent="0.35">
      <c r="A102" s="39">
        <f t="shared" si="25"/>
        <v>91</v>
      </c>
      <c r="B102" s="48">
        <f t="shared" si="22"/>
        <v>7.5731498710840518E-98</v>
      </c>
      <c r="C102" s="48">
        <f t="shared" ref="C102:D111" si="29">IFERROR(IF(MOD($A102,C$10)=0,0,(C$10-MOD($A102,C$10))/(ROUNDUP($A102/C$10,0)*C$10)),"")</f>
        <v>1.0869565217391304E-2</v>
      </c>
      <c r="D102" s="48">
        <f t="shared" si="29"/>
        <v>1.0869565217391304E-2</v>
      </c>
      <c r="F102" s="48">
        <f t="shared" si="23"/>
        <v>2.6780597319440417E-39</v>
      </c>
      <c r="G102" s="48">
        <f t="shared" ref="G102:H111" si="30">IFERROR(IF(MOD($A102,G$10)=0,0,(G$10-MOD($A102,G$10))/(ROUNDUP($A102/G$10,0)*G$10)),"")</f>
        <v>1.0869565217391304E-2</v>
      </c>
      <c r="H102" s="48">
        <f t="shared" si="30"/>
        <v>1.0869565217391304E-2</v>
      </c>
      <c r="J102" s="48">
        <f t="shared" si="24"/>
        <v>2.3819451107448745E-18</v>
      </c>
      <c r="K102" s="48">
        <f t="shared" ref="K102:L111" si="31">IFERROR(IF(MOD($A102,K$10)=0,0,(K$10-MOD($A102,K$10))/(ROUNDUP($A102/K$10,0)*K$10)),"")</f>
        <v>1.0869565217391304E-2</v>
      </c>
      <c r="L102" s="48">
        <f t="shared" si="31"/>
        <v>1.0869565217391304E-2</v>
      </c>
    </row>
    <row r="103" spans="1:12" x14ac:dyDescent="0.35">
      <c r="A103" s="39">
        <f t="shared" si="25"/>
        <v>92</v>
      </c>
      <c r="B103" s="48">
        <f t="shared" si="22"/>
        <v>2.376511465821458E-99</v>
      </c>
      <c r="C103" s="48">
        <f t="shared" si="29"/>
        <v>0</v>
      </c>
      <c r="D103" s="48">
        <f t="shared" si="29"/>
        <v>0</v>
      </c>
      <c r="F103" s="48">
        <f t="shared" si="23"/>
        <v>4.2734995722511389E-40</v>
      </c>
      <c r="G103" s="48">
        <f t="shared" si="30"/>
        <v>0</v>
      </c>
      <c r="H103" s="48">
        <f t="shared" si="30"/>
        <v>0</v>
      </c>
      <c r="J103" s="48">
        <f t="shared" si="24"/>
        <v>7.7672123176463768E-19</v>
      </c>
      <c r="K103" s="48">
        <f t="shared" si="31"/>
        <v>0</v>
      </c>
      <c r="L103" s="48">
        <f t="shared" si="31"/>
        <v>0</v>
      </c>
    </row>
    <row r="104" spans="1:12" x14ac:dyDescent="0.35">
      <c r="A104" s="39">
        <f t="shared" si="25"/>
        <v>93</v>
      </c>
      <c r="B104" s="48">
        <f t="shared" si="22"/>
        <v>7.3667899399415851E-101</v>
      </c>
      <c r="C104" s="48">
        <f t="shared" si="29"/>
        <v>1.0638297872340425E-2</v>
      </c>
      <c r="D104" s="48">
        <f t="shared" si="29"/>
        <v>3.125E-2</v>
      </c>
      <c r="F104" s="48">
        <f t="shared" si="23"/>
        <v>6.7363102385746672E-41</v>
      </c>
      <c r="G104" s="48">
        <f t="shared" si="30"/>
        <v>1.0638297872340425E-2</v>
      </c>
      <c r="H104" s="48">
        <f t="shared" si="30"/>
        <v>3.125E-2</v>
      </c>
      <c r="J104" s="48">
        <f t="shared" si="24"/>
        <v>2.5019211252259252E-19</v>
      </c>
      <c r="K104" s="48">
        <f t="shared" si="31"/>
        <v>1.0638297872340425E-2</v>
      </c>
      <c r="L104" s="48">
        <f t="shared" si="31"/>
        <v>3.125E-2</v>
      </c>
    </row>
    <row r="105" spans="1:12" x14ac:dyDescent="0.35">
      <c r="A105" s="39">
        <f t="shared" si="25"/>
        <v>94</v>
      </c>
      <c r="B105" s="48">
        <f t="shared" si="22"/>
        <v>2.2560097385738158E-102</v>
      </c>
      <c r="C105" s="48">
        <f t="shared" si="29"/>
        <v>0</v>
      </c>
      <c r="D105" s="48">
        <f t="shared" si="29"/>
        <v>2.0833333333333332E-2</v>
      </c>
      <c r="F105" s="48">
        <f t="shared" si="23"/>
        <v>1.0490225088590973E-41</v>
      </c>
      <c r="G105" s="48">
        <f t="shared" si="30"/>
        <v>0</v>
      </c>
      <c r="H105" s="48">
        <f t="shared" si="30"/>
        <v>2.0833333333333332E-2</v>
      </c>
      <c r="J105" s="48">
        <f t="shared" si="24"/>
        <v>7.961710148730062E-20</v>
      </c>
      <c r="K105" s="48">
        <f t="shared" si="31"/>
        <v>0</v>
      </c>
      <c r="L105" s="48">
        <f t="shared" si="31"/>
        <v>2.0833333333333332E-2</v>
      </c>
    </row>
    <row r="106" spans="1:12" x14ac:dyDescent="0.35">
      <c r="A106" s="39">
        <f t="shared" si="25"/>
        <v>95</v>
      </c>
      <c r="B106" s="48">
        <f t="shared" si="22"/>
        <v>6.8261558705141633E-104</v>
      </c>
      <c r="C106" s="48">
        <f t="shared" si="29"/>
        <v>1.0416666666666666E-2</v>
      </c>
      <c r="D106" s="48">
        <f t="shared" si="29"/>
        <v>1.0416666666666666E-2</v>
      </c>
      <c r="F106" s="48">
        <f t="shared" si="23"/>
        <v>1.6140615085916538E-42</v>
      </c>
      <c r="G106" s="48">
        <f t="shared" si="30"/>
        <v>1.0416666666666666E-2</v>
      </c>
      <c r="H106" s="48">
        <f t="shared" si="30"/>
        <v>1.0416666666666666E-2</v>
      </c>
      <c r="J106" s="48">
        <f t="shared" si="24"/>
        <v>2.5032928476785397E-20</v>
      </c>
      <c r="K106" s="48">
        <f t="shared" si="31"/>
        <v>1.0416666666666666E-2</v>
      </c>
      <c r="L106" s="48">
        <f t="shared" si="31"/>
        <v>1.0416666666666666E-2</v>
      </c>
    </row>
    <row r="107" spans="1:12" x14ac:dyDescent="0.35">
      <c r="A107" s="39">
        <f t="shared" si="25"/>
        <v>96</v>
      </c>
      <c r="B107" s="48">
        <f t="shared" si="22"/>
        <v>2.040944441759353E-105</v>
      </c>
      <c r="C107" s="48">
        <f t="shared" si="29"/>
        <v>0</v>
      </c>
      <c r="D107" s="48">
        <f t="shared" si="29"/>
        <v>0</v>
      </c>
      <c r="F107" s="48">
        <f t="shared" si="23"/>
        <v>2.4540030915201555E-43</v>
      </c>
      <c r="G107" s="48">
        <f t="shared" si="30"/>
        <v>0</v>
      </c>
      <c r="H107" s="48">
        <f t="shared" si="30"/>
        <v>0</v>
      </c>
      <c r="J107" s="48">
        <f t="shared" si="24"/>
        <v>7.7774406408853775E-21</v>
      </c>
      <c r="K107" s="48">
        <f t="shared" si="31"/>
        <v>0</v>
      </c>
      <c r="L107" s="48">
        <f t="shared" si="31"/>
        <v>0</v>
      </c>
    </row>
    <row r="108" spans="1:12" x14ac:dyDescent="0.35">
      <c r="A108" s="39">
        <f t="shared" si="25"/>
        <v>97</v>
      </c>
      <c r="B108" s="48">
        <f t="shared" si="22"/>
        <v>6.0304832964033058E-107</v>
      </c>
      <c r="C108" s="48">
        <f t="shared" si="29"/>
        <v>1.020408163265306E-2</v>
      </c>
      <c r="D108" s="48">
        <f t="shared" si="29"/>
        <v>0.03</v>
      </c>
      <c r="F108" s="48">
        <f t="shared" si="23"/>
        <v>3.6871948183621125E-44</v>
      </c>
      <c r="G108" s="48">
        <f t="shared" si="30"/>
        <v>1.020408163265306E-2</v>
      </c>
      <c r="H108" s="48">
        <f t="shared" si="30"/>
        <v>0.03</v>
      </c>
      <c r="J108" s="48">
        <f t="shared" si="24"/>
        <v>2.3879636212489163E-21</v>
      </c>
      <c r="K108" s="48">
        <f t="shared" si="31"/>
        <v>1.020408163265306E-2</v>
      </c>
      <c r="L108" s="48">
        <f t="shared" si="31"/>
        <v>0.03</v>
      </c>
    </row>
    <row r="109" spans="1:12" x14ac:dyDescent="0.35">
      <c r="A109" s="39">
        <f t="shared" si="25"/>
        <v>98</v>
      </c>
      <c r="B109" s="48">
        <f t="shared" si="22"/>
        <v>1.761100919964074E-108</v>
      </c>
      <c r="C109" s="48">
        <f t="shared" si="29"/>
        <v>0</v>
      </c>
      <c r="D109" s="48">
        <f t="shared" si="29"/>
        <v>0.02</v>
      </c>
      <c r="F109" s="48">
        <f t="shared" si="23"/>
        <v>5.475556352061996E-45</v>
      </c>
      <c r="G109" s="48">
        <f t="shared" si="30"/>
        <v>0</v>
      </c>
      <c r="H109" s="48">
        <f t="shared" si="30"/>
        <v>0.02</v>
      </c>
      <c r="J109" s="48">
        <f t="shared" si="24"/>
        <v>7.2465266944733284E-22</v>
      </c>
      <c r="K109" s="48">
        <f t="shared" si="31"/>
        <v>0</v>
      </c>
      <c r="L109" s="48">
        <f t="shared" si="31"/>
        <v>0.02</v>
      </c>
    </row>
    <row r="110" spans="1:12" x14ac:dyDescent="0.35">
      <c r="A110" s="39">
        <f t="shared" si="25"/>
        <v>99</v>
      </c>
      <c r="B110" s="48">
        <f t="shared" si="22"/>
        <v>5.0836056309348366E-110</v>
      </c>
      <c r="C110" s="48">
        <f t="shared" si="29"/>
        <v>0.01</v>
      </c>
      <c r="D110" s="48">
        <f t="shared" si="29"/>
        <v>0.01</v>
      </c>
      <c r="F110" s="48">
        <f t="shared" si="23"/>
        <v>8.0374059498351185E-46</v>
      </c>
      <c r="G110" s="48">
        <f t="shared" si="30"/>
        <v>0.01</v>
      </c>
      <c r="H110" s="48">
        <f t="shared" si="30"/>
        <v>0.01</v>
      </c>
      <c r="J110" s="48">
        <f t="shared" si="24"/>
        <v>2.1736397594753299E-22</v>
      </c>
      <c r="K110" s="48">
        <f t="shared" si="31"/>
        <v>0.01</v>
      </c>
      <c r="L110" s="48">
        <f t="shared" si="31"/>
        <v>0.01</v>
      </c>
    </row>
    <row r="111" spans="1:12" x14ac:dyDescent="0.35">
      <c r="A111" s="39">
        <f t="shared" si="25"/>
        <v>100</v>
      </c>
      <c r="B111" s="48">
        <f t="shared" si="22"/>
        <v>1.4506355817143704E-111</v>
      </c>
      <c r="C111" s="48">
        <f t="shared" si="29"/>
        <v>0</v>
      </c>
      <c r="D111" s="48">
        <f t="shared" si="29"/>
        <v>0</v>
      </c>
      <c r="F111" s="48">
        <f t="shared" si="23"/>
        <v>1.1662789059122576E-46</v>
      </c>
      <c r="G111" s="48">
        <f t="shared" si="30"/>
        <v>0</v>
      </c>
      <c r="H111" s="48">
        <f t="shared" si="30"/>
        <v>0</v>
      </c>
      <c r="J111" s="48">
        <f t="shared" si="24"/>
        <v>6.4453144172269005E-23</v>
      </c>
      <c r="K111" s="48">
        <f t="shared" si="31"/>
        <v>0</v>
      </c>
      <c r="L111" s="48">
        <f t="shared" si="31"/>
        <v>0</v>
      </c>
    </row>
  </sheetData>
  <sheetProtection sheet="1" objects="1" scenarios="1"/>
  <mergeCells count="4">
    <mergeCell ref="A9:A10"/>
    <mergeCell ref="A7:B8"/>
    <mergeCell ref="F7:F8"/>
    <mergeCell ref="J7:J8"/>
  </mergeCells>
  <conditionalFormatting sqref="B11:B51">
    <cfRule type="cellIs" dxfId="44" priority="63" operator="lessThan">
      <formula>0.1%</formula>
    </cfRule>
  </conditionalFormatting>
  <conditionalFormatting sqref="B52:B70">
    <cfRule type="cellIs" dxfId="43" priority="59" operator="lessThan">
      <formula>0.1%</formula>
    </cfRule>
  </conditionalFormatting>
  <conditionalFormatting sqref="F11:F70">
    <cfRule type="cellIs" dxfId="42" priority="55" operator="lessThan">
      <formula>0.1%</formula>
    </cfRule>
  </conditionalFormatting>
  <conditionalFormatting sqref="J11:J70">
    <cfRule type="cellIs" dxfId="41" priority="54" operator="lessThan">
      <formula>0.1%</formula>
    </cfRule>
  </conditionalFormatting>
  <conditionalFormatting sqref="B71:B100">
    <cfRule type="cellIs" dxfId="40" priority="48" operator="lessThan">
      <formula>0.1%</formula>
    </cfRule>
  </conditionalFormatting>
  <conditionalFormatting sqref="F71:F100">
    <cfRule type="cellIs" dxfId="39" priority="47" operator="lessThan">
      <formula>0.1%</formula>
    </cfRule>
  </conditionalFormatting>
  <conditionalFormatting sqref="J71:J100">
    <cfRule type="cellIs" dxfId="38" priority="46" operator="lessThan">
      <formula>0.1%</formula>
    </cfRule>
  </conditionalFormatting>
  <conditionalFormatting sqref="C11:C100">
    <cfRule type="cellIs" dxfId="37" priority="43" operator="lessThan">
      <formula>0.1%</formula>
    </cfRule>
  </conditionalFormatting>
  <conditionalFormatting sqref="D11:D100">
    <cfRule type="cellIs" dxfId="36" priority="31" operator="lessThan">
      <formula>0.1%</formula>
    </cfRule>
  </conditionalFormatting>
  <conditionalFormatting sqref="G11:G100">
    <cfRule type="cellIs" dxfId="35" priority="30" operator="lessThan">
      <formula>0.1%</formula>
    </cfRule>
  </conditionalFormatting>
  <conditionalFormatting sqref="H11:H100">
    <cfRule type="cellIs" dxfId="34" priority="29" operator="lessThan">
      <formula>0.1%</formula>
    </cfRule>
  </conditionalFormatting>
  <conditionalFormatting sqref="K11:K100">
    <cfRule type="cellIs" dxfId="33" priority="28" operator="lessThan">
      <formula>0.1%</formula>
    </cfRule>
  </conditionalFormatting>
  <conditionalFormatting sqref="L11:L100">
    <cfRule type="cellIs" dxfId="32" priority="27" operator="lessThan">
      <formula>0.1%</formula>
    </cfRule>
  </conditionalFormatting>
  <conditionalFormatting sqref="B101:B110">
    <cfRule type="cellIs" dxfId="31" priority="24" operator="lessThan">
      <formula>0.1%</formula>
    </cfRule>
  </conditionalFormatting>
  <conditionalFormatting sqref="F101:F110">
    <cfRule type="cellIs" dxfId="30" priority="23" operator="lessThan">
      <formula>0.1%</formula>
    </cfRule>
  </conditionalFormatting>
  <conditionalFormatting sqref="J101:J110">
    <cfRule type="cellIs" dxfId="29" priority="22" operator="lessThan">
      <formula>0.1%</formula>
    </cfRule>
  </conditionalFormatting>
  <conditionalFormatting sqref="C101:C110">
    <cfRule type="cellIs" dxfId="28" priority="20" operator="lessThan">
      <formula>0.1%</formula>
    </cfRule>
  </conditionalFormatting>
  <conditionalFormatting sqref="D101:D110">
    <cfRule type="cellIs" dxfId="27" priority="19" operator="lessThan">
      <formula>0.1%</formula>
    </cfRule>
  </conditionalFormatting>
  <conditionalFormatting sqref="G101:G110">
    <cfRule type="cellIs" dxfId="26" priority="18" operator="lessThan">
      <formula>0.1%</formula>
    </cfRule>
  </conditionalFormatting>
  <conditionalFormatting sqref="H101:H110">
    <cfRule type="cellIs" dxfId="25" priority="17" operator="lessThan">
      <formula>0.1%</formula>
    </cfRule>
  </conditionalFormatting>
  <conditionalFormatting sqref="K101:K110">
    <cfRule type="cellIs" dxfId="24" priority="16" operator="lessThan">
      <formula>0.1%</formula>
    </cfRule>
  </conditionalFormatting>
  <conditionalFormatting sqref="L101:L110">
    <cfRule type="cellIs" dxfId="23" priority="15" operator="lessThan">
      <formula>0.1%</formula>
    </cfRule>
  </conditionalFormatting>
  <conditionalFormatting sqref="B111">
    <cfRule type="cellIs" dxfId="22" priority="12" operator="lessThan">
      <formula>0.1%</formula>
    </cfRule>
  </conditionalFormatting>
  <conditionalFormatting sqref="F111">
    <cfRule type="cellIs" dxfId="21" priority="11" operator="lessThan">
      <formula>0.1%</formula>
    </cfRule>
  </conditionalFormatting>
  <conditionalFormatting sqref="J111">
    <cfRule type="cellIs" dxfId="20" priority="10" operator="lessThan">
      <formula>0.1%</formula>
    </cfRule>
  </conditionalFormatting>
  <conditionalFormatting sqref="C111">
    <cfRule type="cellIs" dxfId="19" priority="8" operator="lessThan">
      <formula>0.1%</formula>
    </cfRule>
  </conditionalFormatting>
  <conditionalFormatting sqref="D111">
    <cfRule type="cellIs" dxfId="18" priority="7" operator="lessThan">
      <formula>0.1%</formula>
    </cfRule>
  </conditionalFormatting>
  <conditionalFormatting sqref="G111">
    <cfRule type="cellIs" dxfId="17" priority="6" operator="lessThan">
      <formula>0.1%</formula>
    </cfRule>
  </conditionalFormatting>
  <conditionalFormatting sqref="H111">
    <cfRule type="cellIs" dxfId="16" priority="5" operator="lessThan">
      <formula>0.1%</formula>
    </cfRule>
  </conditionalFormatting>
  <conditionalFormatting sqref="K111">
    <cfRule type="cellIs" dxfId="15" priority="4" operator="lessThan">
      <formula>0.1%</formula>
    </cfRule>
  </conditionalFormatting>
  <conditionalFormatting sqref="L111">
    <cfRule type="cellIs" dxfId="14" priority="3" operator="lessThan">
      <formula>0.1%</formula>
    </cfRule>
  </conditionalFormatting>
  <dataValidations count="2">
    <dataValidation allowBlank="1" showInputMessage="1" showErrorMessage="1" promptTitle="Session frequency:" prompt="Enter the vaccination session you want to analyse." sqref="B10 F10 J10" xr:uid="{00000000-0002-0000-0900-000001000000}"/>
    <dataValidation allowBlank="1" showInputMessage="1" showErrorMessage="1" promptTitle="Vial size:" prompt="Enter the vial size you want to assess." sqref="C10:D10" xr:uid="{00000000-0002-0000-0900-000000000000}"/>
  </dataValidations>
  <pageMargins left="0.75" right="0.75" top="1" bottom="1" header="0.5" footer="0.5"/>
  <pageSetup orientation="portrait" horizontalDpi="90" verticalDpi="9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9"/>
  <dimension ref="A1:I175"/>
  <sheetViews>
    <sheetView workbookViewId="0">
      <pane ySplit="9" topLeftCell="A136" activePane="bottomLeft" state="frozen"/>
      <selection activeCell="F13" sqref="F13"/>
      <selection pane="bottomLeft" activeCell="E154" sqref="E154"/>
    </sheetView>
  </sheetViews>
  <sheetFormatPr defaultColWidth="9.15234375" defaultRowHeight="12.45" x14ac:dyDescent="0.3"/>
  <cols>
    <col min="1" max="1" width="4.3828125" style="13" customWidth="1"/>
    <col min="2" max="2" width="13.84375" style="14" customWidth="1"/>
    <col min="3" max="7" width="43.84375" style="14" customWidth="1"/>
    <col min="8" max="9" width="42.84375" style="14" customWidth="1"/>
    <col min="10" max="16384" width="9.15234375" style="12"/>
  </cols>
  <sheetData>
    <row r="1" spans="1:9" s="7" customFormat="1" ht="20.149999999999999" x14ac:dyDescent="0.3">
      <c r="A1" s="2" t="str">
        <f>C85</f>
        <v>Translation</v>
      </c>
      <c r="B1" s="2"/>
      <c r="C1" s="3" t="str">
        <f>C12</f>
        <v>Language:</v>
      </c>
      <c r="D1" s="4" t="str">
        <f>simulation!F3</f>
        <v>English</v>
      </c>
      <c r="E1" s="5"/>
      <c r="F1" s="6"/>
      <c r="G1" s="6"/>
      <c r="H1" s="6"/>
      <c r="I1" s="6"/>
    </row>
    <row r="2" spans="1:9" s="17" customFormat="1" ht="5.05" customHeight="1" x14ac:dyDescent="0.3">
      <c r="A2" s="16"/>
      <c r="B2" s="16"/>
      <c r="C2" s="16"/>
      <c r="D2" s="16"/>
      <c r="E2" s="16"/>
      <c r="F2" s="16"/>
      <c r="G2" s="16"/>
      <c r="H2" s="16"/>
      <c r="I2" s="16"/>
    </row>
    <row r="3" spans="1:9" s="11" customFormat="1" x14ac:dyDescent="0.3">
      <c r="A3" s="8"/>
      <c r="B3" s="9" t="str">
        <f>C87</f>
        <v xml:space="preserve">Notes for translators: </v>
      </c>
      <c r="C3" s="10"/>
      <c r="D3" s="10"/>
      <c r="E3" s="10"/>
      <c r="F3" s="10"/>
      <c r="G3" s="10"/>
      <c r="H3" s="10"/>
      <c r="I3" s="10"/>
    </row>
    <row r="4" spans="1:9" s="11" customFormat="1" x14ac:dyDescent="0.3">
      <c r="A4" s="8"/>
      <c r="B4" s="10" t="str">
        <f>C88</f>
        <v>1) Non-English translations should not contain more characters than the English language text. Use appropriate abbreviations to achieve this.</v>
      </c>
      <c r="C4" s="10"/>
      <c r="D4" s="10"/>
      <c r="E4" s="10"/>
      <c r="F4" s="10"/>
      <c r="G4" s="10"/>
      <c r="H4" s="10"/>
      <c r="I4" s="10"/>
    </row>
    <row r="5" spans="1:9" s="11" customFormat="1" x14ac:dyDescent="0.3">
      <c r="A5" s="8"/>
      <c r="B5" s="10" t="str">
        <f>C89</f>
        <v xml:space="preserve">2) Follow English language formats.  For instance similar spaces between letters and words should be kept as in the English version.  </v>
      </c>
      <c r="C5" s="10"/>
      <c r="D5" s="10"/>
      <c r="E5" s="10"/>
      <c r="F5" s="10"/>
      <c r="G5" s="10"/>
      <c r="H5" s="10"/>
      <c r="I5" s="10"/>
    </row>
    <row r="6" spans="1:9" s="11" customFormat="1" x14ac:dyDescent="0.3">
      <c r="A6" s="8"/>
      <c r="B6" s="10" t="str">
        <f>C90</f>
        <v>3) Where indentation or hard carriage returns are used, follow the English language format.</v>
      </c>
      <c r="C6" s="10"/>
      <c r="D6" s="10"/>
      <c r="E6" s="10"/>
      <c r="F6" s="10"/>
      <c r="G6" s="10"/>
      <c r="H6" s="10"/>
      <c r="I6" s="10"/>
    </row>
    <row r="7" spans="1:9" s="11" customFormat="1" x14ac:dyDescent="0.3">
      <c r="A7" s="8"/>
      <c r="B7" s="10" t="str">
        <f>C91</f>
        <v>4) The translations below are grouped by worksheet name. DO NOT attempt to reorder the layout.</v>
      </c>
      <c r="C7" s="10"/>
      <c r="D7" s="10"/>
      <c r="E7" s="10"/>
      <c r="F7" s="10"/>
      <c r="G7" s="10"/>
      <c r="H7" s="10"/>
      <c r="I7" s="10"/>
    </row>
    <row r="8" spans="1:9" s="17" customFormat="1" ht="5.05" customHeight="1" x14ac:dyDescent="0.3">
      <c r="A8" s="16"/>
      <c r="B8" s="16"/>
      <c r="C8" s="16"/>
      <c r="D8" s="16"/>
      <c r="E8" s="16"/>
      <c r="F8" s="16"/>
      <c r="G8" s="16"/>
      <c r="H8" s="16"/>
      <c r="I8" s="16"/>
    </row>
    <row r="9" spans="1:9" x14ac:dyDescent="0.3">
      <c r="A9" s="18" t="s">
        <v>158</v>
      </c>
      <c r="B9" s="19" t="s">
        <v>8</v>
      </c>
      <c r="C9" s="19" t="s">
        <v>9</v>
      </c>
      <c r="D9" s="20" t="s">
        <v>10</v>
      </c>
      <c r="E9" s="20" t="s">
        <v>0</v>
      </c>
      <c r="F9" s="20" t="s">
        <v>11</v>
      </c>
      <c r="G9" s="20" t="s">
        <v>12</v>
      </c>
      <c r="H9" s="20" t="s">
        <v>161</v>
      </c>
      <c r="I9" s="21" t="s">
        <v>13</v>
      </c>
    </row>
    <row r="10" spans="1:9" ht="23.15" x14ac:dyDescent="0.3">
      <c r="A10" s="22">
        <f>ROW()-ROW(Table20[[#Headers],[NN°]])</f>
        <v>1</v>
      </c>
      <c r="B10" s="23" t="s">
        <v>14</v>
      </c>
      <c r="C10" s="23" t="str">
        <f>INDEX(Table20[[#This Row],[English]:[Other]],MATCH($D$1,$D$9:$I$9,0))</f>
        <v>DISTRICT VACCINATION SESSION PLANNING &amp; VACCINE WASTAGE ESTIMATION</v>
      </c>
      <c r="D10" s="24" t="s">
        <v>189</v>
      </c>
      <c r="E10" s="24" t="s">
        <v>207</v>
      </c>
      <c r="F10" s="24" t="s">
        <v>150</v>
      </c>
      <c r="G10" s="24"/>
      <c r="H10" s="24"/>
      <c r="I10" s="25"/>
    </row>
    <row r="11" spans="1:9" x14ac:dyDescent="0.3">
      <c r="A11" s="22">
        <f>ROW()-ROW(Table20[[#Headers],[NN°]])</f>
        <v>2</v>
      </c>
      <c r="B11" s="26" t="s">
        <v>14</v>
      </c>
      <c r="C11" s="26" t="str">
        <f>INDEX(Table20[[#This Row],[English]:[Other]],MATCH($D$1,$D$9:$I$9,0))</f>
        <v>Country:</v>
      </c>
      <c r="D11" s="27" t="s">
        <v>15</v>
      </c>
      <c r="E11" s="27" t="s">
        <v>16</v>
      </c>
      <c r="F11" s="27" t="s">
        <v>17</v>
      </c>
      <c r="G11" s="27"/>
      <c r="H11" s="27" t="s">
        <v>18</v>
      </c>
      <c r="I11" s="28"/>
    </row>
    <row r="12" spans="1:9" x14ac:dyDescent="0.3">
      <c r="A12" s="22">
        <f>ROW()-ROW(Table20[[#Headers],[NN°]])</f>
        <v>3</v>
      </c>
      <c r="B12" s="26" t="s">
        <v>14</v>
      </c>
      <c r="C12" s="26" t="str">
        <f>INDEX(Table20[[#This Row],[English]:[Other]],MATCH($D$1,$D$9:$I$9,0))</f>
        <v>Language:</v>
      </c>
      <c r="D12" s="27" t="s">
        <v>19</v>
      </c>
      <c r="E12" s="27" t="s">
        <v>20</v>
      </c>
      <c r="F12" s="27" t="s">
        <v>21</v>
      </c>
      <c r="G12" s="27"/>
      <c r="H12" s="27"/>
      <c r="I12" s="28"/>
    </row>
    <row r="13" spans="1:9" x14ac:dyDescent="0.3">
      <c r="A13" s="22">
        <f>ROW()-ROW(Table20[[#Headers],[NN°]])</f>
        <v>4</v>
      </c>
      <c r="B13" s="26" t="s">
        <v>14</v>
      </c>
      <c r="C13" s="26" t="str">
        <f>INDEX(Table20[[#This Row],[English]:[Other]],MATCH($D$1,$D$9:$I$9,0))</f>
        <v>Year:</v>
      </c>
      <c r="D13" s="27" t="s">
        <v>22</v>
      </c>
      <c r="E13" s="27" t="s">
        <v>23</v>
      </c>
      <c r="F13" s="27" t="s">
        <v>24</v>
      </c>
      <c r="G13" s="27"/>
      <c r="H13" s="27"/>
      <c r="I13" s="28"/>
    </row>
    <row r="14" spans="1:9" x14ac:dyDescent="0.3">
      <c r="A14" s="22">
        <f>ROW()-ROW(Table20[[#Headers],[NN°]])</f>
        <v>5</v>
      </c>
      <c r="B14" s="26" t="s">
        <v>14</v>
      </c>
      <c r="C14" s="26" t="str">
        <f>INDEX(Table20[[#This Row],[English]:[Other]],MATCH($D$1,$D$9:$I$9,0))</f>
        <v>Level:</v>
      </c>
      <c r="D14" s="27" t="s">
        <v>25</v>
      </c>
      <c r="E14" s="27" t="s">
        <v>26</v>
      </c>
      <c r="F14" s="27" t="s">
        <v>27</v>
      </c>
      <c r="G14" s="27"/>
      <c r="H14" s="27"/>
      <c r="I14" s="28"/>
    </row>
    <row r="15" spans="1:9" x14ac:dyDescent="0.3">
      <c r="A15" s="22">
        <f>ROW()-ROW(Table20[[#Headers],[NN°]])</f>
        <v>6</v>
      </c>
      <c r="B15" s="26" t="s">
        <v>14</v>
      </c>
      <c r="C15" s="29" t="str">
        <f>INDEX(Table20[[#This Row],[English]:[Other]],MATCH($D$1,$D$9:$I$9,0))</f>
        <v>National</v>
      </c>
      <c r="D15" s="27" t="s">
        <v>152</v>
      </c>
      <c r="E15" s="27" t="s">
        <v>152</v>
      </c>
      <c r="F15" s="27" t="s">
        <v>153</v>
      </c>
      <c r="G15" s="27"/>
      <c r="H15" s="27"/>
      <c r="I15" s="28"/>
    </row>
    <row r="16" spans="1:9" x14ac:dyDescent="0.3">
      <c r="A16" s="22">
        <f>ROW()-ROW(Table20[[#Headers],[NN°]])</f>
        <v>7</v>
      </c>
      <c r="B16" s="26" t="s">
        <v>14</v>
      </c>
      <c r="C16" s="29" t="str">
        <f>INDEX(Table20[[#This Row],[English]:[Other]],MATCH($D$1,$D$9:$I$9,0))</f>
        <v>Subnational</v>
      </c>
      <c r="D16" s="27" t="s">
        <v>154</v>
      </c>
      <c r="E16" s="27" t="s">
        <v>294</v>
      </c>
      <c r="F16" s="27" t="s">
        <v>28</v>
      </c>
      <c r="G16" s="27"/>
      <c r="H16" s="27"/>
      <c r="I16" s="28"/>
    </row>
    <row r="17" spans="1:9" x14ac:dyDescent="0.3">
      <c r="A17" s="22">
        <f>ROW()-ROW(Table20[[#Headers],[NN°]])</f>
        <v>8</v>
      </c>
      <c r="B17" s="26" t="s">
        <v>14</v>
      </c>
      <c r="C17" s="29" t="str">
        <f>INDEX(Table20[[#This Row],[English]:[Other]],MATCH($D$1,$D$9:$I$9,0))</f>
        <v>District</v>
      </c>
      <c r="D17" s="27" t="s">
        <v>145</v>
      </c>
      <c r="E17" s="27" t="s">
        <v>145</v>
      </c>
      <c r="F17" s="27"/>
      <c r="G17" s="27"/>
      <c r="H17" s="27"/>
      <c r="I17" s="28"/>
    </row>
    <row r="18" spans="1:9" x14ac:dyDescent="0.3">
      <c r="A18" s="22">
        <f>ROW()-ROW(Table20[[#Headers],[NN°]])</f>
        <v>9</v>
      </c>
      <c r="B18" s="26" t="s">
        <v>14</v>
      </c>
      <c r="C18" s="30" t="str">
        <f>INDEX(Table20[[#This Row],[English]:[Other]],MATCH($D$1,$D$9:$I$9,0))</f>
        <v>Health Area</v>
      </c>
      <c r="D18" s="27" t="s">
        <v>155</v>
      </c>
      <c r="E18" s="27" t="s">
        <v>162</v>
      </c>
      <c r="F18" s="27" t="s">
        <v>156</v>
      </c>
      <c r="G18" s="27"/>
      <c r="H18" s="27"/>
      <c r="I18" s="28"/>
    </row>
    <row r="19" spans="1:9" x14ac:dyDescent="0.3">
      <c r="A19" s="22">
        <f>ROW()-ROW(Table20[[#Headers],[NN°]])</f>
        <v>10</v>
      </c>
      <c r="B19" s="26" t="s">
        <v>14</v>
      </c>
      <c r="C19" s="26" t="str">
        <f>INDEX(Table20[[#This Row],[English]:[Other]],MATCH($D$1,$D$9:$I$9,0))</f>
        <v>Name:</v>
      </c>
      <c r="D19" s="27" t="s">
        <v>29</v>
      </c>
      <c r="E19" s="27" t="s">
        <v>30</v>
      </c>
      <c r="F19" s="27" t="s">
        <v>31</v>
      </c>
      <c r="G19" s="27"/>
      <c r="H19" s="27"/>
      <c r="I19" s="28"/>
    </row>
    <row r="20" spans="1:9" x14ac:dyDescent="0.3">
      <c r="A20" s="22">
        <f>ROW()-ROW(Table20[[#Headers],[NN°]])</f>
        <v>11</v>
      </c>
      <c r="B20" s="26" t="s">
        <v>14</v>
      </c>
      <c r="C20" s="26" t="str">
        <f>INDEX(Table20[[#This Row],[English]:[Other]],MATCH($D$1,$D$9:$I$9,0))</f>
        <v>Click to go to page Index</v>
      </c>
      <c r="D20" s="27" t="s">
        <v>32</v>
      </c>
      <c r="E20" s="27" t="s">
        <v>33</v>
      </c>
      <c r="F20" s="27" t="s">
        <v>34</v>
      </c>
      <c r="G20" s="27"/>
      <c r="H20" s="27"/>
      <c r="I20" s="28"/>
    </row>
    <row r="21" spans="1:9" x14ac:dyDescent="0.3">
      <c r="A21" s="22">
        <f>ROW()-ROW(Table20[[#Headers],[NN°]])</f>
        <v>12</v>
      </c>
      <c r="B21" s="26" t="s">
        <v>14</v>
      </c>
      <c r="C21" s="26" t="str">
        <f>INDEX(Table20[[#This Row],[English]:[Other]],MATCH($D$1,$D$9:$I$9,0))</f>
        <v>Version March 2022</v>
      </c>
      <c r="D21" s="27" t="s">
        <v>309</v>
      </c>
      <c r="E21" s="27" t="s">
        <v>310</v>
      </c>
      <c r="F21" s="27" t="s">
        <v>311</v>
      </c>
      <c r="G21" s="27"/>
      <c r="H21" s="27"/>
      <c r="I21" s="28"/>
    </row>
    <row r="22" spans="1:9" x14ac:dyDescent="0.3">
      <c r="A22" s="22">
        <f>ROW()-ROW(Table20[[#Headers],[NN°]])</f>
        <v>13</v>
      </c>
      <c r="B22" s="31" t="s">
        <v>2</v>
      </c>
      <c r="C22" s="31" t="str">
        <f>INDEX(Table20[[#This Row],[English]:[Other]],MATCH($D$1,$D$9:$I$9,0))</f>
        <v>SUMMARY</v>
      </c>
      <c r="D22" s="32" t="s">
        <v>35</v>
      </c>
      <c r="E22" s="32" t="s">
        <v>36</v>
      </c>
      <c r="F22" s="27" t="s">
        <v>37</v>
      </c>
      <c r="G22" s="32"/>
      <c r="H22" s="32"/>
      <c r="I22" s="33"/>
    </row>
    <row r="23" spans="1:9" x14ac:dyDescent="0.3">
      <c r="A23" s="22">
        <f>ROW()-ROW(Table20[[#Headers],[NN°]])</f>
        <v>14</v>
      </c>
      <c r="B23" s="31" t="s">
        <v>2</v>
      </c>
      <c r="C23" s="31" t="str">
        <f>INDEX(Table20[[#This Row],[English]:[Other]],MATCH($D$1,$D$9:$I$9,0))</f>
        <v>Sheets</v>
      </c>
      <c r="D23" s="32" t="s">
        <v>38</v>
      </c>
      <c r="E23" s="32" t="s">
        <v>39</v>
      </c>
      <c r="F23" s="32" t="s">
        <v>40</v>
      </c>
      <c r="G23" s="32"/>
      <c r="H23" s="32"/>
      <c r="I23" s="33"/>
    </row>
    <row r="24" spans="1:9" x14ac:dyDescent="0.3">
      <c r="A24" s="22">
        <f>ROW()-ROW(Table20[[#Headers],[NN°]])</f>
        <v>15</v>
      </c>
      <c r="B24" s="31" t="s">
        <v>2</v>
      </c>
      <c r="C24" s="31" t="str">
        <f>INDEX(Table20[[#This Row],[English]:[Other]],MATCH($D$1,$D$9:$I$9,0))</f>
        <v>Content of the sheet</v>
      </c>
      <c r="D24" s="32" t="s">
        <v>41</v>
      </c>
      <c r="E24" s="32" t="s">
        <v>42</v>
      </c>
      <c r="F24" s="32" t="s">
        <v>43</v>
      </c>
      <c r="G24" s="32"/>
      <c r="H24" s="32"/>
      <c r="I24" s="33"/>
    </row>
    <row r="25" spans="1:9" x14ac:dyDescent="0.3">
      <c r="A25" s="22">
        <f>ROW()-ROW(Table20[[#Headers],[NN°]])</f>
        <v>16</v>
      </c>
      <c r="B25" s="31" t="s">
        <v>2</v>
      </c>
      <c r="C25" s="31" t="str">
        <f>INDEX(Table20[[#This Row],[English]:[Other]],MATCH($D$1,$D$9:$I$9,0))</f>
        <v>List of units &amp; customization of parameters</v>
      </c>
      <c r="D25" s="32" t="s">
        <v>44</v>
      </c>
      <c r="E25" s="32" t="s">
        <v>45</v>
      </c>
      <c r="F25" s="32" t="s">
        <v>46</v>
      </c>
      <c r="G25" s="32"/>
      <c r="H25" s="32"/>
      <c r="I25" s="33"/>
    </row>
    <row r="26" spans="1:9" x14ac:dyDescent="0.3">
      <c r="A26" s="22">
        <f>ROW()-ROW(Table20[[#Headers],[NN°]])</f>
        <v>17</v>
      </c>
      <c r="B26" s="31" t="s">
        <v>2</v>
      </c>
      <c r="C26" s="31" t="str">
        <f>INDEX(Table20[[#This Row],[English]:[Other]],MATCH($D$1,$D$9:$I$9,0))</f>
        <v>Data input sheets:</v>
      </c>
      <c r="D26" s="32" t="s">
        <v>47</v>
      </c>
      <c r="E26" s="32" t="s">
        <v>48</v>
      </c>
      <c r="F26" s="32" t="s">
        <v>49</v>
      </c>
      <c r="G26" s="32"/>
      <c r="H26" s="32"/>
      <c r="I26" s="33"/>
    </row>
    <row r="27" spans="1:9" x14ac:dyDescent="0.3">
      <c r="A27" s="22">
        <f>ROW()-ROW(Table20[[#Headers],[NN°]])</f>
        <v>18</v>
      </c>
      <c r="B27" s="31" t="s">
        <v>2</v>
      </c>
      <c r="C27" s="31" t="str">
        <f>INDEX(Table20[[#This Row],[English]:[Other]],MATCH($D$1,$D$9:$I$9,0))</f>
        <v>Analysis of trends</v>
      </c>
      <c r="D27" s="32" t="s">
        <v>50</v>
      </c>
      <c r="E27" s="32" t="s">
        <v>51</v>
      </c>
      <c r="F27" s="32" t="s">
        <v>52</v>
      </c>
      <c r="G27" s="32"/>
      <c r="H27" s="32"/>
      <c r="I27" s="33"/>
    </row>
    <row r="28" spans="1:9" x14ac:dyDescent="0.3">
      <c r="A28" s="22">
        <f>ROW()-ROW(Table20[[#Headers],[NN°]])</f>
        <v>19</v>
      </c>
      <c r="B28" s="31" t="s">
        <v>2</v>
      </c>
      <c r="C28" s="31" t="str">
        <f>INDEX(Table20[[#This Row],[English]:[Other]],MATCH($D$1,$D$9:$I$9,0))</f>
        <v>Indicators of performence</v>
      </c>
      <c r="D28" s="32" t="s">
        <v>53</v>
      </c>
      <c r="E28" s="32" t="s">
        <v>54</v>
      </c>
      <c r="F28" s="32" t="s">
        <v>55</v>
      </c>
      <c r="G28" s="32"/>
      <c r="H28" s="32"/>
      <c r="I28" s="33"/>
    </row>
    <row r="29" spans="1:9" x14ac:dyDescent="0.3">
      <c r="A29" s="22">
        <f>ROW()-ROW(Table20[[#Headers],[NN°]])</f>
        <v>20</v>
      </c>
      <c r="B29" s="31" t="s">
        <v>2</v>
      </c>
      <c r="C29" s="31" t="str">
        <f>INDEX(Table20[[#This Row],[English]:[Other]],MATCH($D$1,$D$9:$I$9,0))</f>
        <v>References</v>
      </c>
      <c r="D29" s="32" t="s">
        <v>196</v>
      </c>
      <c r="E29" s="32" t="s">
        <v>197</v>
      </c>
      <c r="F29" s="32"/>
      <c r="G29" s="32"/>
      <c r="H29" s="32"/>
      <c r="I29" s="33"/>
    </row>
    <row r="30" spans="1:9" x14ac:dyDescent="0.3">
      <c r="A30" s="22">
        <f>ROW()-ROW(Table20[[#Headers],[NN°]])</f>
        <v>21</v>
      </c>
      <c r="B30" s="31" t="s">
        <v>2</v>
      </c>
      <c r="C30" s="31" t="str">
        <f>INDEX(Table20[[#This Row],[English]:[Other]],MATCH($D$1,$D$9:$I$9,0))</f>
        <v>Revisions</v>
      </c>
      <c r="D30" s="32" t="s">
        <v>56</v>
      </c>
      <c r="E30" s="32" t="s">
        <v>57</v>
      </c>
      <c r="F30" s="32" t="s">
        <v>58</v>
      </c>
      <c r="G30" s="32"/>
      <c r="H30" s="32"/>
      <c r="I30" s="33"/>
    </row>
    <row r="31" spans="1:9" x14ac:dyDescent="0.3">
      <c r="A31" s="22">
        <f>ROW()-ROW(Table20[[#Headers],[NN°]])</f>
        <v>22</v>
      </c>
      <c r="B31" s="31" t="s">
        <v>2</v>
      </c>
      <c r="C31" s="31" t="str">
        <f>INDEX(Table20[[#This Row],[English]:[Other]],MATCH($D$1,$D$9:$I$9,0))</f>
        <v>Version control</v>
      </c>
      <c r="D31" s="32" t="s">
        <v>59</v>
      </c>
      <c r="E31" s="32" t="s">
        <v>59</v>
      </c>
      <c r="F31" s="32" t="s">
        <v>60</v>
      </c>
      <c r="G31" s="32"/>
      <c r="H31" s="32"/>
      <c r="I31" s="33"/>
    </row>
    <row r="32" spans="1:9" x14ac:dyDescent="0.3">
      <c r="A32" s="22">
        <f>ROW()-ROW(Table20[[#Headers],[NN°]])</f>
        <v>23</v>
      </c>
      <c r="B32" s="31" t="s">
        <v>2</v>
      </c>
      <c r="C32" s="31" t="str">
        <f>INDEX(Table20[[#This Row],[English]:[Other]],MATCH($D$1,$D$9:$I$9,0))</f>
        <v>Notes:</v>
      </c>
      <c r="D32" s="32" t="s">
        <v>61</v>
      </c>
      <c r="E32" s="32" t="s">
        <v>61</v>
      </c>
      <c r="F32" s="32" t="s">
        <v>62</v>
      </c>
      <c r="G32" s="32"/>
      <c r="H32" s="32"/>
      <c r="I32" s="33"/>
    </row>
    <row r="33" spans="1:9" x14ac:dyDescent="0.3">
      <c r="A33" s="22">
        <f>ROW()-ROW(Table20[[#Headers],[NN°]])</f>
        <v>24</v>
      </c>
      <c r="B33" s="23" t="s">
        <v>323</v>
      </c>
      <c r="C33" s="23" t="str">
        <f>INDEX(Table20[[#This Row],[English]:[Other]],MATCH($D$1,$D$9:$I$9,0))</f>
        <v>PROGRAMME DATA</v>
      </c>
      <c r="D33" s="32" t="s">
        <v>63</v>
      </c>
      <c r="E33" s="32" t="s">
        <v>64</v>
      </c>
      <c r="F33" s="32" t="s">
        <v>65</v>
      </c>
      <c r="G33" s="32"/>
      <c r="H33" s="32"/>
      <c r="I33" s="33"/>
    </row>
    <row r="34" spans="1:9" x14ac:dyDescent="0.3">
      <c r="A34" s="22">
        <f>ROW()-ROW(Table20[[#Headers],[NN°]])</f>
        <v>25</v>
      </c>
      <c r="B34" s="23" t="s">
        <v>323</v>
      </c>
      <c r="C34" s="23" t="str">
        <f>INDEX(Table20[[#This Row],[English]:[Other]],MATCH($D$1,$D$9:$I$9,0))</f>
        <v>Notes for guidance:</v>
      </c>
      <c r="D34" s="32" t="s">
        <v>66</v>
      </c>
      <c r="E34" s="32" t="s">
        <v>67</v>
      </c>
      <c r="F34" s="32" t="s">
        <v>68</v>
      </c>
      <c r="G34" s="32"/>
      <c r="H34" s="32"/>
      <c r="I34" s="33"/>
    </row>
    <row r="35" spans="1:9" x14ac:dyDescent="0.3">
      <c r="A35" s="22">
        <f>ROW()-ROW(Table20[[#Headers],[NN°]])</f>
        <v>26</v>
      </c>
      <c r="B35" s="23" t="s">
        <v>323</v>
      </c>
      <c r="C35" s="23" t="str">
        <f>INDEX(Table20[[#This Row],[English]:[Other]],MATCH($D$1,$D$9:$I$9,0))</f>
        <v>Only yellow cells required data entry.</v>
      </c>
      <c r="D35" s="32" t="s">
        <v>69</v>
      </c>
      <c r="E35" s="32" t="s">
        <v>70</v>
      </c>
      <c r="F35" s="32" t="s">
        <v>71</v>
      </c>
      <c r="G35" s="32"/>
      <c r="H35" s="32"/>
      <c r="I35" s="33"/>
    </row>
    <row r="36" spans="1:9" x14ac:dyDescent="0.3">
      <c r="A36" s="22">
        <f>ROW()-ROW(Table20[[#Headers],[NN°]])</f>
        <v>27</v>
      </c>
      <c r="B36" s="23" t="s">
        <v>323</v>
      </c>
      <c r="C36" s="23" t="str">
        <f>INDEX(Table20[[#This Row],[English]:[Other]],MATCH($D$1,$D$9:$I$9,0))</f>
        <v>LIST OF FACILITIES</v>
      </c>
      <c r="D36" s="32" t="s">
        <v>72</v>
      </c>
      <c r="E36" s="32" t="s">
        <v>73</v>
      </c>
      <c r="F36" s="32" t="s">
        <v>74</v>
      </c>
      <c r="G36" s="32"/>
      <c r="H36" s="32"/>
      <c r="I36" s="33"/>
    </row>
    <row r="37" spans="1:9" ht="23.15" x14ac:dyDescent="0.3">
      <c r="A37" s="22">
        <f>ROW()-ROW(Table20[[#Headers],[NN°]])</f>
        <v>28</v>
      </c>
      <c r="B37" s="23" t="s">
        <v>323</v>
      </c>
      <c r="C37" s="23" t="str">
        <f>INDEX(Table20[[#This Row],[English]:[Other]],MATCH($D$1,$D$9:$I$9,0))</f>
        <v>FACILITIES OF SELECTED ADMINISTRATIVE UNIT</v>
      </c>
      <c r="D37" s="32" t="s">
        <v>194</v>
      </c>
      <c r="E37" s="32" t="s">
        <v>195</v>
      </c>
      <c r="F37" s="32" t="s">
        <v>74</v>
      </c>
      <c r="G37" s="32"/>
      <c r="H37" s="32"/>
      <c r="I37" s="33"/>
    </row>
    <row r="38" spans="1:9" x14ac:dyDescent="0.3">
      <c r="A38" s="22">
        <f>ROW()-ROW(Table20[[#Headers],[NN°]])</f>
        <v>29</v>
      </c>
      <c r="B38" s="23" t="s">
        <v>323</v>
      </c>
      <c r="C38" s="29" t="str">
        <f>INDEX(Table20[[#This Row],[English]:[Other]],MATCH($D$1,$D$9:$I$9,0))</f>
        <v>National</v>
      </c>
      <c r="D38" s="32" t="s">
        <v>152</v>
      </c>
      <c r="E38" s="32" t="s">
        <v>152</v>
      </c>
      <c r="F38" s="32" t="s">
        <v>152</v>
      </c>
      <c r="G38" s="32"/>
      <c r="H38" s="32"/>
      <c r="I38" s="33"/>
    </row>
    <row r="39" spans="1:9" x14ac:dyDescent="0.3">
      <c r="A39" s="22">
        <f>ROW()-ROW(Table20[[#Headers],[NN°]])</f>
        <v>30</v>
      </c>
      <c r="B39" s="23" t="s">
        <v>323</v>
      </c>
      <c r="C39" s="29" t="str">
        <f>INDEX(Table20[[#This Row],[English]:[Other]],MATCH($D$1,$D$9:$I$9,0))</f>
        <v>Regions</v>
      </c>
      <c r="D39" s="32" t="s">
        <v>147</v>
      </c>
      <c r="E39" s="27" t="s">
        <v>295</v>
      </c>
      <c r="F39" s="32" t="s">
        <v>147</v>
      </c>
      <c r="G39" s="32"/>
      <c r="H39" s="32"/>
      <c r="I39" s="33"/>
    </row>
    <row r="40" spans="1:9" x14ac:dyDescent="0.3">
      <c r="A40" s="22">
        <f>ROW()-ROW(Table20[[#Headers],[NN°]])</f>
        <v>31</v>
      </c>
      <c r="B40" s="23" t="s">
        <v>323</v>
      </c>
      <c r="C40" s="34" t="str">
        <f>INDEX(Table20[[#This Row],[English]:[Other]],MATCH($D$1,$D$9:$I$9,0))</f>
        <v>Districts</v>
      </c>
      <c r="D40" s="32" t="s">
        <v>146</v>
      </c>
      <c r="E40" s="27" t="s">
        <v>146</v>
      </c>
      <c r="F40" s="32" t="s">
        <v>157</v>
      </c>
      <c r="G40" s="32"/>
      <c r="H40" s="32"/>
      <c r="I40" s="33"/>
    </row>
    <row r="41" spans="1:9" x14ac:dyDescent="0.3">
      <c r="A41" s="22">
        <f>ROW()-ROW(Table20[[#Headers],[NN°]])</f>
        <v>32</v>
      </c>
      <c r="B41" s="23" t="s">
        <v>323</v>
      </c>
      <c r="C41" s="34" t="str">
        <f>INDEX(Table20[[#This Row],[English]:[Other]],MATCH($D$1,$D$9:$I$9,0))</f>
        <v>Health centres</v>
      </c>
      <c r="D41" s="32" t="s">
        <v>76</v>
      </c>
      <c r="E41" s="27" t="s">
        <v>163</v>
      </c>
      <c r="F41" s="32" t="s">
        <v>75</v>
      </c>
      <c r="G41" s="32"/>
      <c r="H41" s="32"/>
      <c r="I41" s="33"/>
    </row>
    <row r="42" spans="1:9" x14ac:dyDescent="0.3">
      <c r="A42" s="22">
        <f>ROW()-ROW(Table20[[#Headers],[NN°]])</f>
        <v>33</v>
      </c>
      <c r="B42" s="23" t="s">
        <v>323</v>
      </c>
      <c r="C42" s="23" t="str">
        <f>INDEX(Table20[[#This Row],[English]:[Other]],MATCH($D$1,$D$9:$I$9,0))</f>
        <v>Total Population</v>
      </c>
      <c r="D42" s="32" t="s">
        <v>77</v>
      </c>
      <c r="E42" s="32" t="s">
        <v>78</v>
      </c>
      <c r="F42" s="32" t="s">
        <v>79</v>
      </c>
      <c r="G42" s="32"/>
      <c r="H42" s="32"/>
      <c r="I42" s="33"/>
    </row>
    <row r="43" spans="1:9" x14ac:dyDescent="0.3">
      <c r="A43" s="22">
        <f>ROW()-ROW(Table20[[#Headers],[NN°]])</f>
        <v>34</v>
      </c>
      <c r="B43" s="23" t="s">
        <v>323</v>
      </c>
      <c r="C43" s="37" t="str">
        <f>INDEX(Table20[[#This Row],[English]:[Other]],MATCH($D$1,$D$9:$I$9,0))</f>
        <v>Pregnent women</v>
      </c>
      <c r="D43" s="32" t="s">
        <v>80</v>
      </c>
      <c r="E43" s="32" t="s">
        <v>81</v>
      </c>
      <c r="F43" s="32" t="s">
        <v>82</v>
      </c>
      <c r="G43" s="32"/>
      <c r="H43" s="32"/>
      <c r="I43" s="33"/>
    </row>
    <row r="44" spans="1:9" x14ac:dyDescent="0.3">
      <c r="A44" s="22">
        <f>ROW()-ROW(Table20[[#Headers],[NN°]])</f>
        <v>35</v>
      </c>
      <c r="B44" s="23" t="s">
        <v>323</v>
      </c>
      <c r="C44" s="37" t="str">
        <f>INDEX(Table20[[#This Row],[English]:[Other]],MATCH($D$1,$D$9:$I$9,0))</f>
        <v>Live births</v>
      </c>
      <c r="D44" s="32" t="s">
        <v>143</v>
      </c>
      <c r="E44" s="32" t="s">
        <v>144</v>
      </c>
      <c r="F44" s="32" t="s">
        <v>82</v>
      </c>
      <c r="G44" s="32"/>
      <c r="H44" s="32"/>
      <c r="I44" s="33"/>
    </row>
    <row r="45" spans="1:9" x14ac:dyDescent="0.3">
      <c r="A45" s="22">
        <f>ROW()-ROW(Table20[[#Headers],[NN°]])</f>
        <v>36</v>
      </c>
      <c r="B45" s="23" t="s">
        <v>323</v>
      </c>
      <c r="C45" s="37" t="str">
        <f>INDEX(Table20[[#This Row],[English]:[Other]],MATCH($D$1,$D$9:$I$9,0))</f>
        <v>Surviving infants</v>
      </c>
      <c r="D45" s="32" t="s">
        <v>83</v>
      </c>
      <c r="E45" s="32" t="s">
        <v>282</v>
      </c>
      <c r="F45" s="32"/>
      <c r="G45" s="32"/>
      <c r="H45" s="32"/>
      <c r="I45" s="33"/>
    </row>
    <row r="46" spans="1:9" x14ac:dyDescent="0.3">
      <c r="A46" s="22">
        <f>ROW()-ROW(Table20[[#Headers],[NN°]])</f>
        <v>37</v>
      </c>
      <c r="B46" s="23" t="s">
        <v>323</v>
      </c>
      <c r="C46" s="37" t="str">
        <f>INDEX(Table20[[#This Row],[English]:[Other]],MATCH($D$1,$D$9:$I$9,0))</f>
        <v>Adolescent Girls</v>
      </c>
      <c r="D46" s="32" t="s">
        <v>141</v>
      </c>
      <c r="E46" s="32" t="s">
        <v>151</v>
      </c>
      <c r="F46" s="32" t="s">
        <v>142</v>
      </c>
      <c r="G46" s="32"/>
      <c r="H46" s="32"/>
      <c r="I46" s="33"/>
    </row>
    <row r="47" spans="1:9" x14ac:dyDescent="0.3">
      <c r="A47" s="22">
        <f>ROW()-ROW(Table20[[#Headers],[NN°]])</f>
        <v>38</v>
      </c>
      <c r="B47" s="23" t="s">
        <v>323</v>
      </c>
      <c r="C47" s="23" t="str">
        <f>INDEX(Table20[[#This Row],[English]:[Other]],MATCH($D$1,$D$9:$I$9,0))</f>
        <v>Vaccinations points</v>
      </c>
      <c r="D47" s="32" t="s">
        <v>84</v>
      </c>
      <c r="E47" s="32" t="s">
        <v>85</v>
      </c>
      <c r="F47" s="32" t="s">
        <v>86</v>
      </c>
      <c r="G47" s="32"/>
      <c r="H47" s="32"/>
      <c r="I47" s="33"/>
    </row>
    <row r="48" spans="1:9" x14ac:dyDescent="0.3">
      <c r="A48" s="22">
        <f>ROW()-ROW(Table20[[#Headers],[NN°]])</f>
        <v>39</v>
      </c>
      <c r="B48" s="23" t="s">
        <v>323</v>
      </c>
      <c r="C48" s="23" t="str">
        <f>INDEX(Table20[[#This Row],[English]:[Other]],MATCH($D$1,$D$9:$I$9,0))</f>
        <v>Demographic indicators</v>
      </c>
      <c r="D48" s="32" t="s">
        <v>87</v>
      </c>
      <c r="E48" s="32" t="s">
        <v>88</v>
      </c>
      <c r="F48" s="32" t="s">
        <v>89</v>
      </c>
      <c r="G48" s="32"/>
      <c r="H48" s="32"/>
      <c r="I48" s="33"/>
    </row>
    <row r="49" spans="1:9" x14ac:dyDescent="0.3">
      <c r="A49" s="22">
        <f>ROW()-ROW(Table20[[#Headers],[NN°]])</f>
        <v>40</v>
      </c>
      <c r="B49" s="23" t="s">
        <v>323</v>
      </c>
      <c r="C49" s="23" t="str">
        <f>INDEX(Table20[[#This Row],[English]:[Other]],MATCH($D$1,$D$9:$I$9,0))</f>
        <v>% of pregnant women</v>
      </c>
      <c r="D49" s="32" t="s">
        <v>90</v>
      </c>
      <c r="E49" s="32" t="s">
        <v>91</v>
      </c>
      <c r="F49" s="32" t="s">
        <v>92</v>
      </c>
      <c r="G49" s="32"/>
      <c r="H49" s="32"/>
      <c r="I49" s="33"/>
    </row>
    <row r="50" spans="1:9" x14ac:dyDescent="0.3">
      <c r="A50" s="22">
        <f>ROW()-ROW(Table20[[#Headers],[NN°]])</f>
        <v>41</v>
      </c>
      <c r="B50" s="23" t="s">
        <v>323</v>
      </c>
      <c r="C50" s="23" t="str">
        <f>INDEX(Table20[[#This Row],[English]:[Other]],MATCH($D$1,$D$9:$I$9,0))</f>
        <v>% of live births</v>
      </c>
      <c r="D50" s="32" t="s">
        <v>221</v>
      </c>
      <c r="E50" s="32" t="s">
        <v>220</v>
      </c>
      <c r="F50" s="32" t="s">
        <v>93</v>
      </c>
      <c r="G50" s="32"/>
      <c r="H50" s="32"/>
      <c r="I50" s="33"/>
    </row>
    <row r="51" spans="1:9" x14ac:dyDescent="0.3">
      <c r="A51" s="22">
        <f>ROW()-ROW(Table20[[#Headers],[NN°]])</f>
        <v>42</v>
      </c>
      <c r="B51" s="23" t="s">
        <v>323</v>
      </c>
      <c r="C51" s="23" t="str">
        <f>INDEX(Table20[[#This Row],[English]:[Other]],MATCH($D$1,$D$9:$I$9,0))</f>
        <v>% of surviving infants</v>
      </c>
      <c r="D51" s="32" t="s">
        <v>94</v>
      </c>
      <c r="E51" s="32" t="s">
        <v>95</v>
      </c>
      <c r="F51" s="32" t="s">
        <v>96</v>
      </c>
      <c r="G51" s="32"/>
      <c r="H51" s="32"/>
      <c r="I51" s="33"/>
    </row>
    <row r="52" spans="1:9" x14ac:dyDescent="0.3">
      <c r="A52" s="22">
        <f>ROW()-ROW(Table20[[#Headers],[NN°]])</f>
        <v>43</v>
      </c>
      <c r="B52" s="23" t="s">
        <v>323</v>
      </c>
      <c r="C52" s="23" t="str">
        <f>INDEX(Table20[[#This Row],[English]:[Other]],MATCH($D$1,$D$9:$I$9,0))</f>
        <v>% of adolescent girls</v>
      </c>
      <c r="D52" s="32" t="s">
        <v>97</v>
      </c>
      <c r="E52" s="32" t="s">
        <v>98</v>
      </c>
      <c r="F52" s="32" t="s">
        <v>99</v>
      </c>
      <c r="G52" s="32"/>
      <c r="H52" s="32"/>
      <c r="I52" s="33"/>
    </row>
    <row r="53" spans="1:9" x14ac:dyDescent="0.3">
      <c r="A53" s="22">
        <f>ROW()-ROW(Table20[[#Headers],[NN°]])</f>
        <v>44</v>
      </c>
      <c r="B53" s="23" t="s">
        <v>323</v>
      </c>
      <c r="C53" s="23" t="str">
        <f>INDEX(Table20[[#This Row],[English]:[Other]],MATCH($D$1,$D$9:$I$9,0))</f>
        <v>Population growth rate</v>
      </c>
      <c r="D53" s="32" t="s">
        <v>159</v>
      </c>
      <c r="E53" s="32" t="s">
        <v>160</v>
      </c>
      <c r="F53" s="32"/>
      <c r="G53" s="32"/>
      <c r="H53" s="32"/>
      <c r="I53" s="33"/>
    </row>
    <row r="54" spans="1:9" x14ac:dyDescent="0.3">
      <c r="A54" s="22">
        <f>ROW()-ROW(Table20[[#Headers],[NN°]])</f>
        <v>45</v>
      </c>
      <c r="B54" s="23" t="s">
        <v>323</v>
      </c>
      <c r="C54" s="23" t="str">
        <f>INDEX(Table20[[#This Row],[English]:[Other]],MATCH($D$1,$D$9:$I$9,0))</f>
        <v>VACCINES &amp; VACCINATIONS</v>
      </c>
      <c r="D54" s="32" t="s">
        <v>100</v>
      </c>
      <c r="E54" s="32" t="s">
        <v>101</v>
      </c>
      <c r="F54" s="32" t="s">
        <v>102</v>
      </c>
      <c r="G54" s="32"/>
      <c r="H54" s="32"/>
      <c r="I54" s="33"/>
    </row>
    <row r="55" spans="1:9" x14ac:dyDescent="0.3">
      <c r="A55" s="22">
        <f>ROW()-ROW(Table20[[#Headers],[NN°]])</f>
        <v>46</v>
      </c>
      <c r="B55" s="23" t="s">
        <v>323</v>
      </c>
      <c r="C55" s="23" t="str">
        <f>INDEX(Table20[[#This Row],[English]:[Other]],MATCH($D$1,$D$9:$I$9,0))</f>
        <v>Scheduled Vaccines</v>
      </c>
      <c r="D55" s="32" t="s">
        <v>283</v>
      </c>
      <c r="E55" s="32" t="s">
        <v>284</v>
      </c>
      <c r="F55" s="32" t="s">
        <v>285</v>
      </c>
      <c r="G55" s="32"/>
      <c r="H55" s="32"/>
      <c r="I55" s="33"/>
    </row>
    <row r="56" spans="1:9" x14ac:dyDescent="0.3">
      <c r="A56" s="22">
        <f>ROW()-ROW(Table20[[#Headers],[NN°]])</f>
        <v>47</v>
      </c>
      <c r="B56" s="23" t="s">
        <v>323</v>
      </c>
      <c r="C56" s="23" t="str">
        <f>INDEX(Table20[[#This Row],[English]:[Other]],MATCH($D$1,$D$9:$I$9,0))</f>
        <v>Activity type</v>
      </c>
      <c r="D56" s="32" t="s">
        <v>271</v>
      </c>
      <c r="E56" s="32" t="s">
        <v>272</v>
      </c>
      <c r="F56" s="32"/>
      <c r="G56" s="32"/>
      <c r="H56" s="32"/>
      <c r="I56" s="33"/>
    </row>
    <row r="57" spans="1:9" x14ac:dyDescent="0.3">
      <c r="A57" s="22">
        <f>ROW()-ROW(Table20[[#Headers],[NN°]])</f>
        <v>48</v>
      </c>
      <c r="B57" s="23" t="s">
        <v>323</v>
      </c>
      <c r="C57" s="87" t="str">
        <f>INDEX(Table20[[#This Row],[English]:[Other]],MATCH($D$1,$D$9:$I$9,0))</f>
        <v>Routine</v>
      </c>
      <c r="D57" s="32" t="s">
        <v>273</v>
      </c>
      <c r="E57" s="32" t="s">
        <v>273</v>
      </c>
      <c r="F57" s="32" t="s">
        <v>273</v>
      </c>
      <c r="G57" s="32" t="s">
        <v>273</v>
      </c>
      <c r="H57" s="32"/>
      <c r="I57" s="33"/>
    </row>
    <row r="58" spans="1:9" x14ac:dyDescent="0.3">
      <c r="A58" s="22">
        <f>ROW()-ROW(Table20[[#Headers],[NN°]])</f>
        <v>49</v>
      </c>
      <c r="B58" s="23" t="s">
        <v>323</v>
      </c>
      <c r="C58" s="87" t="str">
        <f>INDEX(Table20[[#This Row],[English]:[Other]],MATCH($D$1,$D$9:$I$9,0))</f>
        <v>SIAs</v>
      </c>
      <c r="D58" s="32" t="s">
        <v>274</v>
      </c>
      <c r="E58" s="32" t="s">
        <v>275</v>
      </c>
      <c r="F58" s="32" t="s">
        <v>274</v>
      </c>
      <c r="G58" s="32" t="s">
        <v>274</v>
      </c>
      <c r="H58" s="32"/>
      <c r="I58" s="33"/>
    </row>
    <row r="59" spans="1:9" x14ac:dyDescent="0.3">
      <c r="A59" s="22">
        <f>ROW()-ROW(Table20[[#Headers],[NN°]])</f>
        <v>50</v>
      </c>
      <c r="B59" s="23" t="s">
        <v>323</v>
      </c>
      <c r="C59" s="23" t="str">
        <f>INDEX(Table20[[#This Row],[English]:[Other]],MATCH($D$1,$D$9:$I$9,0))</f>
        <v>Vaccination objectives &amp; targets</v>
      </c>
      <c r="D59" s="32" t="s">
        <v>103</v>
      </c>
      <c r="E59" s="32" t="s">
        <v>104</v>
      </c>
      <c r="F59" s="32" t="s">
        <v>105</v>
      </c>
      <c r="G59" s="32"/>
      <c r="H59" s="32"/>
      <c r="I59" s="33"/>
    </row>
    <row r="60" spans="1:9" x14ac:dyDescent="0.3">
      <c r="A60" s="22">
        <f>ROW()-ROW(Table20[[#Headers],[NN°]])</f>
        <v>51</v>
      </c>
      <c r="B60" s="23" t="s">
        <v>323</v>
      </c>
      <c r="C60" s="23" t="str">
        <f>INDEX(Table20[[#This Row],[English]:[Other]],MATCH($D$1,$D$9:$I$9,0))</f>
        <v>Schedule</v>
      </c>
      <c r="D60" s="32" t="s">
        <v>106</v>
      </c>
      <c r="E60" s="32" t="s">
        <v>107</v>
      </c>
      <c r="F60" s="32" t="s">
        <v>108</v>
      </c>
      <c r="G60" s="32"/>
      <c r="H60" s="32"/>
      <c r="I60" s="33"/>
    </row>
    <row r="61" spans="1:9" x14ac:dyDescent="0.3">
      <c r="A61" s="22">
        <f>ROW()-ROW(Table20[[#Headers],[NN°]])</f>
        <v>52</v>
      </c>
      <c r="B61" s="23" t="s">
        <v>323</v>
      </c>
      <c r="C61" s="23" t="str">
        <f>INDEX(Table20[[#This Row],[English]:[Other]],MATCH($D$1,$D$9:$I$9,0))</f>
        <v>Target population</v>
      </c>
      <c r="D61" s="32" t="s">
        <v>190</v>
      </c>
      <c r="E61" s="32" t="s">
        <v>191</v>
      </c>
      <c r="F61" s="32"/>
      <c r="G61" s="32"/>
      <c r="H61" s="32"/>
      <c r="I61" s="33"/>
    </row>
    <row r="62" spans="1:9" x14ac:dyDescent="0.3">
      <c r="A62" s="22">
        <f>ROW()-ROW(Table20[[#Headers],[NN°]])</f>
        <v>53</v>
      </c>
      <c r="B62" s="23" t="s">
        <v>323</v>
      </c>
      <c r="C62" s="23" t="str">
        <f>INDEX(Table20[[#This Row],[English]:[Other]],MATCH($D$1,$D$9:$I$9,0))</f>
        <v>Target (%)</v>
      </c>
      <c r="D62" s="32" t="s">
        <v>109</v>
      </c>
      <c r="E62" s="32" t="s">
        <v>110</v>
      </c>
      <c r="F62" s="32" t="s">
        <v>111</v>
      </c>
      <c r="G62" s="32"/>
      <c r="H62" s="32"/>
      <c r="I62" s="33"/>
    </row>
    <row r="63" spans="1:9" x14ac:dyDescent="0.3">
      <c r="A63" s="22">
        <f>ROW()-ROW(Table20[[#Headers],[NN°]])</f>
        <v>54</v>
      </c>
      <c r="B63" s="23" t="s">
        <v>323</v>
      </c>
      <c r="C63" s="23" t="str">
        <f>INDEX(Table20[[#This Row],[English]:[Other]],MATCH($D$1,$D$9:$I$9,0))</f>
        <v>Coverage</v>
      </c>
      <c r="D63" s="32" t="s">
        <v>223</v>
      </c>
      <c r="E63" s="32" t="s">
        <v>222</v>
      </c>
      <c r="F63" s="32" t="s">
        <v>224</v>
      </c>
      <c r="G63" s="32"/>
      <c r="H63" s="32"/>
      <c r="I63" s="33"/>
    </row>
    <row r="64" spans="1:9" x14ac:dyDescent="0.3">
      <c r="A64" s="22">
        <f>ROW()-ROW(Table20[[#Headers],[NN°]])</f>
        <v>55</v>
      </c>
      <c r="B64" s="23" t="s">
        <v>323</v>
      </c>
      <c r="C64" s="23" t="str">
        <f>INDEX(Table20[[#This Row],[English]:[Other]],MATCH($D$1,$D$9:$I$9,0))</f>
        <v>Doses per vial</v>
      </c>
      <c r="D64" s="32" t="s">
        <v>266</v>
      </c>
      <c r="E64" s="32" t="s">
        <v>267</v>
      </c>
      <c r="F64" s="32" t="s">
        <v>112</v>
      </c>
      <c r="G64" s="32"/>
      <c r="H64" s="32"/>
      <c r="I64" s="33"/>
    </row>
    <row r="65" spans="1:9" x14ac:dyDescent="0.3">
      <c r="A65" s="22">
        <f>ROW()-ROW(Table20[[#Headers],[NN°]])</f>
        <v>56</v>
      </c>
      <c r="B65" s="23" t="s">
        <v>323</v>
      </c>
      <c r="C65" s="23" t="str">
        <f>INDEX(Table20[[#This Row],[English]:[Other]],MATCH($D$1,$D$9:$I$9,0))</f>
        <v>Vaccine wastage (%)</v>
      </c>
      <c r="D65" s="32" t="s">
        <v>113</v>
      </c>
      <c r="E65" s="32" t="s">
        <v>114</v>
      </c>
      <c r="F65" s="32" t="s">
        <v>112</v>
      </c>
      <c r="G65" s="32"/>
      <c r="H65" s="32"/>
      <c r="I65" s="33"/>
    </row>
    <row r="66" spans="1:9" x14ac:dyDescent="0.3">
      <c r="A66" s="22">
        <f>ROW()-ROW(Table20[[#Headers],[NN°]])</f>
        <v>57</v>
      </c>
      <c r="B66" s="23" t="s">
        <v>323</v>
      </c>
      <c r="C66" s="23" t="str">
        <f>INDEX(Table20[[#This Row],[English]:[Other]],MATCH($D$1,$D$9:$I$9,0))</f>
        <v>Administration</v>
      </c>
      <c r="D66" s="32" t="s">
        <v>115</v>
      </c>
      <c r="E66" s="32" t="s">
        <v>115</v>
      </c>
      <c r="F66" s="32" t="s">
        <v>116</v>
      </c>
      <c r="G66" s="32"/>
      <c r="H66" s="32"/>
      <c r="I66" s="33"/>
    </row>
    <row r="67" spans="1:9" x14ac:dyDescent="0.3">
      <c r="A67" s="22">
        <f>ROW()-ROW(Table20[[#Headers],[NN°]])</f>
        <v>58</v>
      </c>
      <c r="B67" s="23" t="s">
        <v>323</v>
      </c>
      <c r="C67" s="23" t="str">
        <f>INDEX(Table20[[#This Row],[English]:[Other]],MATCH($D$1,$D$9:$I$9,0))</f>
        <v>Note:</v>
      </c>
      <c r="D67" s="32" t="s">
        <v>117</v>
      </c>
      <c r="E67" s="32" t="s">
        <v>117</v>
      </c>
      <c r="F67" s="32" t="s">
        <v>62</v>
      </c>
      <c r="G67" s="32"/>
      <c r="H67" s="32"/>
      <c r="I67" s="33"/>
    </row>
    <row r="68" spans="1:9" x14ac:dyDescent="0.3">
      <c r="A68" s="22">
        <f>ROW()-ROW(Table20[[#Headers],[NN°]])</f>
        <v>59</v>
      </c>
      <c r="B68" s="23" t="s">
        <v>323</v>
      </c>
      <c r="C68" s="23" t="str">
        <f>INDEX(Table20[[#This Row],[English]:[Other]],MATCH($D$1,$D$9:$I$9,0))</f>
        <v>Use the advanced filter to these two colunms</v>
      </c>
      <c r="D68" s="32" t="s">
        <v>118</v>
      </c>
      <c r="E68" s="32" t="s">
        <v>119</v>
      </c>
      <c r="F68" s="32"/>
      <c r="G68" s="32"/>
      <c r="H68" s="32"/>
      <c r="I68" s="33"/>
    </row>
    <row r="69" spans="1:9" x14ac:dyDescent="0.3">
      <c r="A69" s="22">
        <f>ROW()-ROW(Table20[[#Headers],[NN°]])</f>
        <v>60</v>
      </c>
      <c r="B69" s="23" t="s">
        <v>323</v>
      </c>
      <c r="C69" s="23" t="str">
        <f>INDEX(Table20[[#This Row],[English]:[Other]],MATCH($D$1,$D$9:$I$9,0))</f>
        <v>or enter manually the lists in alphabetic order</v>
      </c>
      <c r="D69" s="32" t="s">
        <v>120</v>
      </c>
      <c r="E69" s="32" t="s">
        <v>121</v>
      </c>
      <c r="F69" s="32"/>
      <c r="G69" s="32"/>
      <c r="H69" s="32"/>
      <c r="I69" s="33"/>
    </row>
    <row r="70" spans="1:9" x14ac:dyDescent="0.3">
      <c r="A70" s="22">
        <f>ROW()-ROW(Table20[[#Headers],[NN°]])</f>
        <v>61</v>
      </c>
      <c r="B70" s="23" t="s">
        <v>323</v>
      </c>
      <c r="C70" s="23" t="str">
        <f>INDEX(Table20[[#This Row],[English]:[Other]],MATCH($D$1,$D$9:$I$9,0))</f>
        <v>Storage temperature (°C)</v>
      </c>
      <c r="D70" s="32" t="s">
        <v>238</v>
      </c>
      <c r="E70" s="32" t="s">
        <v>239</v>
      </c>
      <c r="F70" s="32"/>
      <c r="G70" s="32"/>
      <c r="H70" s="32"/>
      <c r="I70" s="33"/>
    </row>
    <row r="71" spans="1:9" x14ac:dyDescent="0.3">
      <c r="A71" s="22">
        <f>ROW()-ROW(Table20[[#Headers],[NN°]])</f>
        <v>62</v>
      </c>
      <c r="B71" s="23" t="s">
        <v>323</v>
      </c>
      <c r="C71" s="23" t="str">
        <f>INDEX(Table20[[#This Row],[English]:[Other]],MATCH($D$1,$D$9:$I$9,0))</f>
        <v>Volume per target, cm3</v>
      </c>
      <c r="D71" s="32" t="s">
        <v>122</v>
      </c>
      <c r="E71" s="32" t="s">
        <v>148</v>
      </c>
      <c r="F71" s="32"/>
      <c r="G71" s="32"/>
      <c r="H71" s="32"/>
      <c r="I71" s="33"/>
    </row>
    <row r="72" spans="1:9" x14ac:dyDescent="0.3">
      <c r="A72" s="22">
        <f>ROW()-ROW(Table20[[#Headers],[NN°]])</f>
        <v>63</v>
      </c>
      <c r="B72" s="23" t="s">
        <v>323</v>
      </c>
      <c r="C72" s="23" t="str">
        <f>INDEX(Table20[[#This Row],[English]:[Other]],MATCH($D$1,$D$9:$I$9,0))</f>
        <v>Administration</v>
      </c>
      <c r="D72" s="32" t="s">
        <v>115</v>
      </c>
      <c r="E72" s="32" t="s">
        <v>115</v>
      </c>
      <c r="F72" s="32" t="s">
        <v>116</v>
      </c>
      <c r="G72" s="32"/>
      <c r="H72" s="32"/>
      <c r="I72" s="33"/>
    </row>
    <row r="73" spans="1:9" x14ac:dyDescent="0.3">
      <c r="A73" s="22">
        <f>ROW()-ROW(Table20[[#Headers],[NN°]])</f>
        <v>64</v>
      </c>
      <c r="B73" s="23" t="s">
        <v>323</v>
      </c>
      <c r="C73" s="87" t="str">
        <f>INDEX(Table20[[#This Row],[English]:[Other]],MATCH($D$1,$D$9:$I$9,0))</f>
        <v>ADS_0.05ml</v>
      </c>
      <c r="D73" s="32" t="s">
        <v>3</v>
      </c>
      <c r="E73" s="32" t="s">
        <v>324</v>
      </c>
      <c r="F73" s="32" t="s">
        <v>324</v>
      </c>
      <c r="G73" s="32"/>
      <c r="H73" s="32"/>
      <c r="I73" s="33"/>
    </row>
    <row r="74" spans="1:9" x14ac:dyDescent="0.3">
      <c r="A74" s="22">
        <f>ROW()-ROW(Table20[[#Headers],[NN°]])</f>
        <v>65</v>
      </c>
      <c r="B74" s="23" t="s">
        <v>323</v>
      </c>
      <c r="C74" s="87" t="str">
        <f>INDEX(Table20[[#This Row],[English]:[Other]],MATCH($D$1,$D$9:$I$9,0))</f>
        <v>ADS_0.3ml</v>
      </c>
      <c r="D74" s="32" t="s">
        <v>328</v>
      </c>
      <c r="E74" s="32" t="s">
        <v>329</v>
      </c>
      <c r="F74" s="32" t="s">
        <v>329</v>
      </c>
      <c r="G74" s="32"/>
      <c r="H74" s="32"/>
      <c r="I74" s="33"/>
    </row>
    <row r="75" spans="1:9" x14ac:dyDescent="0.3">
      <c r="A75" s="22">
        <f>ROW()-ROW(Table20[[#Headers],[NN°]])</f>
        <v>66</v>
      </c>
      <c r="B75" s="23" t="s">
        <v>323</v>
      </c>
      <c r="C75" s="87" t="str">
        <f>INDEX(Table20[[#This Row],[English]:[Other]],MATCH($D$1,$D$9:$I$9,0))</f>
        <v>ADS_0.5ml</v>
      </c>
      <c r="D75" s="32" t="s">
        <v>6</v>
      </c>
      <c r="E75" s="32" t="s">
        <v>325</v>
      </c>
      <c r="F75" s="32" t="s">
        <v>325</v>
      </c>
      <c r="G75" s="32"/>
      <c r="H75" s="32"/>
      <c r="I75" s="33"/>
    </row>
    <row r="76" spans="1:9" x14ac:dyDescent="0.3">
      <c r="A76" s="22">
        <f>ROW()-ROW(Table20[[#Headers],[NN°]])</f>
        <v>67</v>
      </c>
      <c r="B76" s="23" t="s">
        <v>323</v>
      </c>
      <c r="C76" s="87" t="str">
        <f>INDEX(Table20[[#This Row],[English]:[Other]],MATCH($D$1,$D$9:$I$9,0))</f>
        <v>ADS_1.0ml</v>
      </c>
      <c r="D76" s="32" t="s">
        <v>330</v>
      </c>
      <c r="E76" s="32" t="s">
        <v>331</v>
      </c>
      <c r="F76" s="32" t="s">
        <v>331</v>
      </c>
      <c r="G76" s="32"/>
      <c r="H76" s="32"/>
      <c r="I76" s="33"/>
    </row>
    <row r="77" spans="1:9" x14ac:dyDescent="0.3">
      <c r="A77" s="22">
        <f>ROW()-ROW(Table20[[#Headers],[NN°]])</f>
        <v>68</v>
      </c>
      <c r="B77" s="23" t="s">
        <v>323</v>
      </c>
      <c r="C77" s="87" t="str">
        <f>INDEX(Table20[[#This Row],[English]:[Other]],MATCH($D$1,$D$9:$I$9,0))</f>
        <v>PFS</v>
      </c>
      <c r="D77" s="32" t="s">
        <v>326</v>
      </c>
      <c r="E77" s="32" t="s">
        <v>327</v>
      </c>
      <c r="F77" s="32" t="s">
        <v>327</v>
      </c>
      <c r="G77" s="32"/>
      <c r="H77" s="32"/>
      <c r="I77" s="33"/>
    </row>
    <row r="78" spans="1:9" x14ac:dyDescent="0.3">
      <c r="A78" s="22">
        <f>ROW()-ROW(Table20[[#Headers],[NN°]])</f>
        <v>69</v>
      </c>
      <c r="B78" s="23" t="s">
        <v>323</v>
      </c>
      <c r="C78" s="87" t="str">
        <f>INDEX(Table20[[#This Row],[English]:[Other]],MATCH($D$1,$D$9:$I$9,0))</f>
        <v>Oral</v>
      </c>
      <c r="D78" s="32" t="s">
        <v>5</v>
      </c>
      <c r="E78" s="32" t="s">
        <v>5</v>
      </c>
      <c r="F78" s="32" t="s">
        <v>5</v>
      </c>
      <c r="G78" s="32"/>
      <c r="H78" s="32"/>
      <c r="I78" s="33"/>
    </row>
    <row r="79" spans="1:9" x14ac:dyDescent="0.3">
      <c r="A79" s="22">
        <f>ROW()-ROW(Table20[[#Headers],[NN°]])</f>
        <v>70</v>
      </c>
      <c r="B79" s="23" t="s">
        <v>323</v>
      </c>
      <c r="C79" s="87" t="str">
        <f>INDEX(Table20[[#This Row],[English]:[Other]],MATCH($D$1,$D$9:$I$9,0))</f>
        <v>Nasal</v>
      </c>
      <c r="D79" s="32" t="s">
        <v>336</v>
      </c>
      <c r="E79" s="32" t="s">
        <v>336</v>
      </c>
      <c r="F79" s="32" t="s">
        <v>336</v>
      </c>
      <c r="G79" s="32"/>
      <c r="H79" s="32"/>
      <c r="I79" s="33"/>
    </row>
    <row r="80" spans="1:9" x14ac:dyDescent="0.3">
      <c r="A80" s="22">
        <f>ROW()-ROW(Table20[[#Headers],[NN°]])</f>
        <v>71</v>
      </c>
      <c r="B80" s="23" t="s">
        <v>323</v>
      </c>
      <c r="C80" s="23" t="str">
        <f>INDEX(Table20[[#This Row],[English]:[Other]],MATCH($D$1,$D$9:$I$9,0))</f>
        <v>Dilution syringes</v>
      </c>
      <c r="D80" s="32" t="s">
        <v>332</v>
      </c>
      <c r="E80" s="32" t="s">
        <v>333</v>
      </c>
      <c r="F80" s="32" t="s">
        <v>334</v>
      </c>
      <c r="G80" s="32"/>
      <c r="H80" s="32"/>
      <c r="I80" s="33"/>
    </row>
    <row r="81" spans="1:9" x14ac:dyDescent="0.3">
      <c r="A81" s="22">
        <f>ROW()-ROW(Table20[[#Headers],[NN°]])</f>
        <v>72</v>
      </c>
      <c r="B81" s="23" t="s">
        <v>323</v>
      </c>
      <c r="C81" s="30" t="str">
        <f>INDEX(Table20[[#This Row],[English]:[Other]],MATCH($D$1,$D$9:$I$9,0))</f>
        <v>Sdilution_2ml</v>
      </c>
      <c r="D81" s="32" t="s">
        <v>4</v>
      </c>
      <c r="E81" s="32" t="s">
        <v>4</v>
      </c>
      <c r="F81" s="32" t="s">
        <v>335</v>
      </c>
      <c r="G81" s="32"/>
      <c r="H81" s="32"/>
      <c r="I81" s="33"/>
    </row>
    <row r="82" spans="1:9" x14ac:dyDescent="0.3">
      <c r="A82" s="22">
        <f>ROW()-ROW(Table20[[#Headers],[NN°]])</f>
        <v>73</v>
      </c>
      <c r="B82" s="23" t="s">
        <v>323</v>
      </c>
      <c r="C82" s="30" t="str">
        <f>INDEX(Table20[[#This Row],[English]:[Other]],MATCH($D$1,$D$9:$I$9,0))</f>
        <v>Sdilution_5ml</v>
      </c>
      <c r="D82" s="32" t="s">
        <v>7</v>
      </c>
      <c r="E82" s="32" t="s">
        <v>7</v>
      </c>
      <c r="F82" s="32" t="s">
        <v>337</v>
      </c>
      <c r="G82" s="32"/>
      <c r="H82" s="32"/>
      <c r="I82" s="33"/>
    </row>
    <row r="83" spans="1:9" x14ac:dyDescent="0.3">
      <c r="A83" s="22">
        <f>ROW()-ROW(Table20[[#Headers],[NN°]])</f>
        <v>74</v>
      </c>
      <c r="B83" s="23" t="s">
        <v>323</v>
      </c>
      <c r="C83" s="30" t="str">
        <f>INDEX(Table20[[#This Row],[English]:[Other]],MATCH($D$1,$D$9:$I$9,0))</f>
        <v>Sdilution_6ml</v>
      </c>
      <c r="D83" s="32" t="s">
        <v>338</v>
      </c>
      <c r="E83" s="32" t="s">
        <v>338</v>
      </c>
      <c r="F83" s="32" t="s">
        <v>339</v>
      </c>
      <c r="G83" s="32"/>
      <c r="H83" s="32"/>
      <c r="I83" s="33"/>
    </row>
    <row r="84" spans="1:9" x14ac:dyDescent="0.3">
      <c r="A84" s="22">
        <f>ROW()-ROW(Table20[[#Headers],[NN°]])</f>
        <v>75</v>
      </c>
      <c r="B84" s="23" t="s">
        <v>323</v>
      </c>
      <c r="C84" s="23" t="str">
        <f>INDEX(Table20[[#This Row],[English]:[Other]],MATCH($D$1,$D$9:$I$9,0))</f>
        <v>Safety boxes</v>
      </c>
      <c r="D84" s="32" t="s">
        <v>357</v>
      </c>
      <c r="E84" s="32" t="s">
        <v>358</v>
      </c>
      <c r="F84" s="32" t="s">
        <v>334</v>
      </c>
      <c r="G84" s="32"/>
      <c r="H84" s="32"/>
      <c r="I84" s="33"/>
    </row>
    <row r="85" spans="1:9" x14ac:dyDescent="0.3">
      <c r="A85" s="22">
        <f>ROW()-ROW(Table20[[#Headers],[NN°]])</f>
        <v>76</v>
      </c>
      <c r="B85" s="26" t="s">
        <v>9</v>
      </c>
      <c r="C85" s="26" t="str">
        <f>INDEX(Table20[[#This Row],[English]:[Other]],MATCH($D$1,$D$9:$I$9,0))</f>
        <v>Translation</v>
      </c>
      <c r="D85" s="24" t="s">
        <v>9</v>
      </c>
      <c r="E85" s="24" t="s">
        <v>123</v>
      </c>
      <c r="F85" s="24" t="s">
        <v>124</v>
      </c>
      <c r="G85" s="24"/>
      <c r="H85" s="24"/>
      <c r="I85" s="25"/>
    </row>
    <row r="86" spans="1:9" x14ac:dyDescent="0.3">
      <c r="A86" s="22">
        <f>ROW()-ROW(Table20[[#Headers],[NN°]])</f>
        <v>77</v>
      </c>
      <c r="B86" s="26" t="s">
        <v>9</v>
      </c>
      <c r="C86" s="26" t="str">
        <f>INDEX(Table20[[#This Row],[English]:[Other]],MATCH($D$1,$D$9:$I$9,0))</f>
        <v>Current language:</v>
      </c>
      <c r="D86" s="24" t="s">
        <v>125</v>
      </c>
      <c r="E86" s="24" t="s">
        <v>20</v>
      </c>
      <c r="F86" s="24" t="s">
        <v>21</v>
      </c>
      <c r="G86" s="24"/>
      <c r="H86" s="24"/>
      <c r="I86" s="25"/>
    </row>
    <row r="87" spans="1:9" x14ac:dyDescent="0.3">
      <c r="A87" s="22">
        <f>ROW()-ROW(Table20[[#Headers],[NN°]])</f>
        <v>78</v>
      </c>
      <c r="B87" s="26" t="s">
        <v>9</v>
      </c>
      <c r="C87" s="26" t="str">
        <f>INDEX(Table20[[#This Row],[English]:[Other]],MATCH($D$1,$D$9:$I$9,0))</f>
        <v xml:space="preserve">Notes for translators: </v>
      </c>
      <c r="D87" s="27" t="s">
        <v>126</v>
      </c>
      <c r="E87" s="27" t="s">
        <v>127</v>
      </c>
      <c r="F87" s="27" t="s">
        <v>128</v>
      </c>
      <c r="G87" s="27"/>
      <c r="H87" s="27"/>
      <c r="I87" s="28"/>
    </row>
    <row r="88" spans="1:9" ht="34.75" x14ac:dyDescent="0.3">
      <c r="A88" s="22">
        <f>ROW()-ROW(Table20[[#Headers],[NN°]])</f>
        <v>79</v>
      </c>
      <c r="B88" s="26" t="s">
        <v>9</v>
      </c>
      <c r="C88" s="26" t="str">
        <f>INDEX(Table20[[#This Row],[English]:[Other]],MATCH($D$1,$D$9:$I$9,0))</f>
        <v>1) Non-English translations should not contain more characters than the English language text. Use appropriate abbreviations to achieve this.</v>
      </c>
      <c r="D88" s="27" t="s">
        <v>129</v>
      </c>
      <c r="E88" s="27" t="s">
        <v>130</v>
      </c>
      <c r="F88" s="27" t="s">
        <v>131</v>
      </c>
      <c r="G88" s="27"/>
      <c r="H88" s="27"/>
      <c r="I88" s="28"/>
    </row>
    <row r="89" spans="1:9" ht="34.75" x14ac:dyDescent="0.3">
      <c r="A89" s="22">
        <f>ROW()-ROW(Table20[[#Headers],[NN°]])</f>
        <v>80</v>
      </c>
      <c r="B89" s="26" t="s">
        <v>9</v>
      </c>
      <c r="C89" s="26" t="str">
        <f>INDEX(Table20[[#This Row],[English]:[Other]],MATCH($D$1,$D$9:$I$9,0))</f>
        <v xml:space="preserve">2) Follow English language formats.  For instance similar spaces between letters and words should be kept as in the English version.  </v>
      </c>
      <c r="D89" s="27" t="s">
        <v>132</v>
      </c>
      <c r="E89" s="27" t="s">
        <v>133</v>
      </c>
      <c r="F89" s="27" t="s">
        <v>134</v>
      </c>
      <c r="G89" s="27"/>
      <c r="H89" s="27"/>
      <c r="I89" s="28"/>
    </row>
    <row r="90" spans="1:9" ht="23.15" x14ac:dyDescent="0.3">
      <c r="A90" s="22">
        <f>ROW()-ROW(Table20[[#Headers],[NN°]])</f>
        <v>81</v>
      </c>
      <c r="B90" s="26" t="s">
        <v>9</v>
      </c>
      <c r="C90" s="26" t="str">
        <f>INDEX(Table20[[#This Row],[English]:[Other]],MATCH($D$1,$D$9:$I$9,0))</f>
        <v>3) Where indentation or hard carriage returns are used, follow the English language format.</v>
      </c>
      <c r="D90" s="27" t="s">
        <v>135</v>
      </c>
      <c r="E90" s="27" t="s">
        <v>136</v>
      </c>
      <c r="F90" s="27" t="s">
        <v>137</v>
      </c>
      <c r="G90" s="27"/>
      <c r="H90" s="27"/>
      <c r="I90" s="28"/>
    </row>
    <row r="91" spans="1:9" ht="23.15" x14ac:dyDescent="0.3">
      <c r="A91" s="22">
        <f>ROW()-ROW(Table20[[#Headers],[NN°]])</f>
        <v>82</v>
      </c>
      <c r="B91" s="26" t="s">
        <v>9</v>
      </c>
      <c r="C91" s="26" t="str">
        <f>INDEX(Table20[[#This Row],[English]:[Other]],MATCH($D$1,$D$9:$I$9,0))</f>
        <v>4) The translations below are grouped by worksheet name. DO NOT attempt to reorder the layout.</v>
      </c>
      <c r="D91" s="27" t="s">
        <v>138</v>
      </c>
      <c r="E91" s="27" t="s">
        <v>139</v>
      </c>
      <c r="F91" s="27" t="s">
        <v>140</v>
      </c>
      <c r="G91" s="27"/>
      <c r="H91" s="27"/>
      <c r="I91" s="28"/>
    </row>
    <row r="92" spans="1:9" ht="23.15" x14ac:dyDescent="0.3">
      <c r="A92" s="22">
        <f>ROW()-ROW(Table20[[#Headers],[NN°]])</f>
        <v>83</v>
      </c>
      <c r="B92" s="23" t="s">
        <v>181</v>
      </c>
      <c r="C92" s="23" t="str">
        <f>INDEX(Table20[[#This Row],[English]:[Other]],MATCH($D$1,$D$9:$I$9,0))</f>
        <v>VACCINATION SESSION PLANNING &amp; DEMAND FORECAST</v>
      </c>
      <c r="D92" s="32" t="s">
        <v>182</v>
      </c>
      <c r="E92" s="32" t="s">
        <v>183</v>
      </c>
      <c r="F92" s="32"/>
      <c r="G92" s="32"/>
      <c r="H92" s="32"/>
      <c r="I92" s="33"/>
    </row>
    <row r="93" spans="1:9" x14ac:dyDescent="0.3">
      <c r="A93" s="22">
        <f>ROW()-ROW(Table20[[#Headers],[NN°]])</f>
        <v>84</v>
      </c>
      <c r="B93" s="23" t="s">
        <v>149</v>
      </c>
      <c r="C93" s="23" t="str">
        <f>INDEX(Table20[[#This Row],[English]:[Other]],MATCH($D$1,$D$9:$I$9,0))</f>
        <v>Number of vaccination sessions per week</v>
      </c>
      <c r="D93" s="32" t="s">
        <v>184</v>
      </c>
      <c r="E93" s="32" t="s">
        <v>164</v>
      </c>
      <c r="F93" s="32"/>
      <c r="G93" s="32"/>
      <c r="H93" s="32"/>
      <c r="I93" s="33"/>
    </row>
    <row r="94" spans="1:9" x14ac:dyDescent="0.3">
      <c r="A94" s="22">
        <f>ROW()-ROW(Table20[[#Headers],[NN°]])</f>
        <v>85</v>
      </c>
      <c r="B94" s="23" t="s">
        <v>149</v>
      </c>
      <c r="C94" s="23" t="str">
        <f>INDEX(Table20[[#This Row],[English]:[Other]],MATCH($D$1,$D$9:$I$9,0))</f>
        <v>Effective number of vaccination sessions of year</v>
      </c>
      <c r="D94" s="32" t="s">
        <v>343</v>
      </c>
      <c r="E94" s="32" t="s">
        <v>344</v>
      </c>
      <c r="F94" s="32"/>
      <c r="G94" s="32"/>
      <c r="H94" s="32"/>
      <c r="I94" s="33"/>
    </row>
    <row r="95" spans="1:9" x14ac:dyDescent="0.3">
      <c r="A95" s="22">
        <f>ROW()-ROW(Table20[[#Headers],[NN°]])</f>
        <v>86</v>
      </c>
      <c r="B95" s="23" t="s">
        <v>149</v>
      </c>
      <c r="C95" s="23" t="str">
        <f>INDEX(Table20[[#This Row],[English]:[Other]],MATCH($D$1,$D$9:$I$9,0))</f>
        <v>Mean session size</v>
      </c>
      <c r="D95" s="32" t="s">
        <v>227</v>
      </c>
      <c r="E95" s="32" t="s">
        <v>165</v>
      </c>
      <c r="F95" s="32"/>
      <c r="G95" s="32"/>
      <c r="H95" s="32"/>
      <c r="I95" s="33"/>
    </row>
    <row r="96" spans="1:9" x14ac:dyDescent="0.3">
      <c r="A96" s="22">
        <f>ROW()-ROW(Table20[[#Headers],[NN°]])</f>
        <v>87</v>
      </c>
      <c r="B96" s="23" t="s">
        <v>149</v>
      </c>
      <c r="C96" s="23" t="str">
        <f>INDEX(Table20[[#This Row],[English]:[Other]],MATCH($D$1,$D$9:$I$9,0))</f>
        <v>Estimation of annual vaccine demand (doses)</v>
      </c>
      <c r="D96" s="32" t="s">
        <v>231</v>
      </c>
      <c r="E96" s="32" t="s">
        <v>233</v>
      </c>
      <c r="F96" s="32"/>
      <c r="G96" s="32"/>
      <c r="H96" s="32"/>
      <c r="I96" s="33"/>
    </row>
    <row r="97" spans="1:9" x14ac:dyDescent="0.3">
      <c r="A97" s="22">
        <f>ROW()-ROW(Table20[[#Headers],[NN°]])</f>
        <v>88</v>
      </c>
      <c r="B97" s="23" t="s">
        <v>149</v>
      </c>
      <c r="C97" s="23" t="str">
        <f>INDEX(Table20[[#This Row],[English]:[Other]],MATCH($D$1,$D$9:$I$9,0))</f>
        <v>Safety stock for incertainty in demand (doses)</v>
      </c>
      <c r="D97" s="32" t="s">
        <v>232</v>
      </c>
      <c r="E97" s="32" t="s">
        <v>230</v>
      </c>
      <c r="F97" s="32"/>
      <c r="G97" s="32"/>
      <c r="H97" s="32"/>
      <c r="I97" s="33"/>
    </row>
    <row r="98" spans="1:9" x14ac:dyDescent="0.3">
      <c r="A98" s="22">
        <f>ROW()-ROW(Table20[[#Headers],[NN°]])</f>
        <v>89</v>
      </c>
      <c r="B98" s="23" t="s">
        <v>149</v>
      </c>
      <c r="C98" s="23" t="str">
        <f>INDEX(Table20[[#This Row],[English]:[Other]],MATCH($D$1,$D$9:$I$9,0))</f>
        <v>Standard deviation of monthly demand</v>
      </c>
      <c r="D98" s="32" t="s">
        <v>240</v>
      </c>
      <c r="E98" s="32" t="s">
        <v>241</v>
      </c>
      <c r="F98" s="32"/>
      <c r="G98" s="32"/>
      <c r="H98" s="32"/>
      <c r="I98" s="33"/>
    </row>
    <row r="99" spans="1:9" x14ac:dyDescent="0.3">
      <c r="A99" s="22">
        <f>ROW()-ROW(Table20[[#Headers],[NN°]])</f>
        <v>90</v>
      </c>
      <c r="B99" s="23" t="s">
        <v>149</v>
      </c>
      <c r="C99" s="23" t="str">
        <f>INDEX(Table20[[#This Row],[English]:[Other]],MATCH($D$1,$D$9:$I$9,0))</f>
        <v>Total vaccine needs (doses)</v>
      </c>
      <c r="D99" s="32" t="s">
        <v>234</v>
      </c>
      <c r="E99" s="32" t="s">
        <v>235</v>
      </c>
      <c r="F99" s="32"/>
      <c r="G99" s="32"/>
      <c r="H99" s="32"/>
      <c r="I99" s="33"/>
    </row>
    <row r="100" spans="1:9" x14ac:dyDescent="0.3">
      <c r="A100" s="22">
        <f>ROW()-ROW(Table20[[#Headers],[NN°]])</f>
        <v>91</v>
      </c>
      <c r="B100" s="23" t="s">
        <v>149</v>
      </c>
      <c r="C100" s="23" t="str">
        <f>INDEX(Table20[[#This Row],[English]:[Other]],MATCH($D$1,$D$9:$I$9,0))</f>
        <v>Estimation of anticipated vaccine wastage</v>
      </c>
      <c r="D100" s="32" t="s">
        <v>199</v>
      </c>
      <c r="E100" s="32" t="s">
        <v>200</v>
      </c>
      <c r="F100" s="32"/>
      <c r="G100" s="32"/>
      <c r="H100" s="32"/>
      <c r="I100" s="33"/>
    </row>
    <row r="101" spans="1:9" x14ac:dyDescent="0.3">
      <c r="A101" s="22">
        <f>ROW()-ROW(Table20[[#Headers],[NN°]])</f>
        <v>92</v>
      </c>
      <c r="B101" s="23" t="s">
        <v>149</v>
      </c>
      <c r="C101" s="23" t="str">
        <f>INDEX(Table20[[#This Row],[English]:[Other]],MATCH($D$1,$D$9:$I$9,0))</f>
        <v>Standard deviation of session size distribution</v>
      </c>
      <c r="D101" s="32" t="s">
        <v>228</v>
      </c>
      <c r="E101" s="32" t="s">
        <v>229</v>
      </c>
      <c r="F101" s="32"/>
      <c r="G101" s="32"/>
      <c r="H101" s="32"/>
      <c r="I101" s="33"/>
    </row>
    <row r="102" spans="1:9" x14ac:dyDescent="0.3">
      <c r="A102" s="22">
        <f>ROW()-ROW(Table20[[#Headers],[NN°]])</f>
        <v>93</v>
      </c>
      <c r="B102" s="23" t="s">
        <v>149</v>
      </c>
      <c r="C102" s="23" t="str">
        <f>INDEX(Table20[[#This Row],[English]:[Other]],MATCH($D$1,$D$9:$I$9,0))</f>
        <v>vaccine needs</v>
      </c>
      <c r="D102" s="32" t="s">
        <v>280</v>
      </c>
      <c r="E102" s="32" t="s">
        <v>281</v>
      </c>
      <c r="F102" s="32"/>
      <c r="G102" s="32"/>
      <c r="H102" s="32"/>
      <c r="I102" s="33"/>
    </row>
    <row r="103" spans="1:9" ht="23.15" x14ac:dyDescent="0.3">
      <c r="A103" s="22">
        <f>ROW()-ROW(Table20[[#Headers],[NN°]])</f>
        <v>94</v>
      </c>
      <c r="B103" s="23" t="s">
        <v>149</v>
      </c>
      <c r="C103" s="23" t="str">
        <f>INDEX(Table20[[#This Row],[English]:[Other]],MATCH($D$1,$D$9:$I$9,0))</f>
        <v>FACILITY MEAN SESSION SIZE &amp; VACCINE WASTAGE RATES</v>
      </c>
      <c r="D103" s="32" t="s">
        <v>193</v>
      </c>
      <c r="E103" s="32" t="s">
        <v>192</v>
      </c>
      <c r="F103" s="32"/>
      <c r="G103" s="32"/>
      <c r="H103" s="32"/>
      <c r="I103" s="33"/>
    </row>
    <row r="104" spans="1:9" x14ac:dyDescent="0.3">
      <c r="A104" s="22">
        <f>ROW()-ROW(Table20[[#Headers],[NN°]])</f>
        <v>95</v>
      </c>
      <c r="B104" s="23" t="s">
        <v>149</v>
      </c>
      <c r="C104" s="23" t="str">
        <f>INDEX(Table20[[#This Row],[English]:[Other]],MATCH($D$1,$D$9:$I$9,0))</f>
        <v>Service point:</v>
      </c>
      <c r="D104" s="32" t="s">
        <v>236</v>
      </c>
      <c r="E104" s="32" t="s">
        <v>237</v>
      </c>
      <c r="F104" s="32"/>
      <c r="G104" s="32"/>
      <c r="H104" s="32"/>
      <c r="I104" s="33"/>
    </row>
    <row r="105" spans="1:9" x14ac:dyDescent="0.3">
      <c r="A105" s="22">
        <f>ROW()-ROW(Table20[[#Headers],[NN°]])</f>
        <v>96</v>
      </c>
      <c r="B105" s="23" t="s">
        <v>149</v>
      </c>
      <c r="C105" s="23" t="str">
        <f>INDEX(Table20[[#This Row],[English]:[Other]],MATCH($D$1,$D$9:$I$9,0))</f>
        <v>Vaccine:</v>
      </c>
      <c r="D105" s="32" t="s">
        <v>179</v>
      </c>
      <c r="E105" s="32" t="s">
        <v>201</v>
      </c>
      <c r="F105" s="32"/>
      <c r="G105" s="32"/>
      <c r="H105" s="32"/>
      <c r="I105" s="33"/>
    </row>
    <row r="106" spans="1:9" x14ac:dyDescent="0.3">
      <c r="A106" s="22">
        <f>ROW()-ROW(Table20[[#Headers],[NN°]])</f>
        <v>97</v>
      </c>
      <c r="B106" s="23" t="s">
        <v>149</v>
      </c>
      <c r="C106" s="23" t="str">
        <f>INDEX(Table20[[#This Row],[English]:[Other]],MATCH($D$1,$D$9:$I$9,0))</f>
        <v>Annual target population</v>
      </c>
      <c r="D106" s="32" t="s">
        <v>174</v>
      </c>
      <c r="E106" s="32" t="s">
        <v>202</v>
      </c>
      <c r="F106" s="32"/>
      <c r="G106" s="32"/>
      <c r="H106" s="32"/>
      <c r="I106" s="33"/>
    </row>
    <row r="107" spans="1:9" x14ac:dyDescent="0.3">
      <c r="A107" s="22">
        <f>ROW()-ROW(Table20[[#Headers],[NN°]])</f>
        <v>98</v>
      </c>
      <c r="B107" s="23" t="s">
        <v>149</v>
      </c>
      <c r="C107" s="23" t="str">
        <f>INDEX(Table20[[#This Row],[English]:[Other]],MATCH($D$1,$D$9:$I$9,0))</f>
        <v>No. of doses in the schedule</v>
      </c>
      <c r="D107" s="32" t="s">
        <v>173</v>
      </c>
      <c r="E107" s="32" t="s">
        <v>203</v>
      </c>
      <c r="F107" s="32"/>
      <c r="G107" s="32"/>
      <c r="H107" s="32"/>
      <c r="I107" s="33"/>
    </row>
    <row r="108" spans="1:9" x14ac:dyDescent="0.3">
      <c r="A108" s="22">
        <f>ROW()-ROW(Table20[[#Headers],[NN°]])</f>
        <v>99</v>
      </c>
      <c r="B108" s="23" t="s">
        <v>149</v>
      </c>
      <c r="C108" s="23" t="str">
        <f>INDEX(Table20[[#This Row],[English]:[Other]],MATCH($D$1,$D$9:$I$9,0))</f>
        <v>Target coverage</v>
      </c>
      <c r="D108" s="32" t="s">
        <v>171</v>
      </c>
      <c r="E108" s="32" t="s">
        <v>204</v>
      </c>
      <c r="F108" s="32"/>
      <c r="G108" s="32"/>
      <c r="H108" s="32"/>
      <c r="I108" s="33"/>
    </row>
    <row r="109" spans="1:9" x14ac:dyDescent="0.3">
      <c r="A109" s="22">
        <f>ROW()-ROW(Table20[[#Headers],[NN°]])</f>
        <v>100</v>
      </c>
      <c r="B109" s="23" t="s">
        <v>149</v>
      </c>
      <c r="C109" s="23" t="str">
        <f>INDEX(Table20[[#This Row],[English]:[Other]],MATCH($D$1,$D$9:$I$9,0))</f>
        <v>No. of weeks in year</v>
      </c>
      <c r="D109" s="32" t="s">
        <v>170</v>
      </c>
      <c r="E109" s="35" t="s">
        <v>205</v>
      </c>
      <c r="F109" s="32"/>
      <c r="G109" s="32"/>
      <c r="H109" s="32"/>
      <c r="I109" s="33"/>
    </row>
    <row r="110" spans="1:9" x14ac:dyDescent="0.3">
      <c r="A110" s="22">
        <f>ROW()-ROW(Table20[[#Headers],[NN°]])</f>
        <v>101</v>
      </c>
      <c r="B110" s="23" t="s">
        <v>149</v>
      </c>
      <c r="C110" s="23" t="str">
        <f>INDEX(Table20[[#This Row],[English]:[Other]],MATCH($D$1,$D$9:$I$9,0))</f>
        <v>per target</v>
      </c>
      <c r="D110" s="32" t="s">
        <v>172</v>
      </c>
      <c r="E110" s="32" t="s">
        <v>206</v>
      </c>
      <c r="F110" s="32"/>
      <c r="G110" s="32"/>
      <c r="H110" s="32"/>
      <c r="I110" s="33"/>
    </row>
    <row r="111" spans="1:9" x14ac:dyDescent="0.3">
      <c r="A111" s="22">
        <f>ROW()-ROW(Table20[[#Headers],[NN°]])</f>
        <v>102</v>
      </c>
      <c r="B111" s="23" t="s">
        <v>149</v>
      </c>
      <c r="C111" s="23" t="str">
        <f>INDEX(Table20[[#This Row],[English]:[Other]],MATCH($D$1,$D$9:$I$9,0))</f>
        <v>week</v>
      </c>
      <c r="D111" s="32" t="s">
        <v>187</v>
      </c>
      <c r="E111" s="35" t="s">
        <v>188</v>
      </c>
      <c r="F111" s="32"/>
      <c r="G111" s="32"/>
      <c r="H111" s="32"/>
      <c r="I111" s="33"/>
    </row>
    <row r="112" spans="1:9" x14ac:dyDescent="0.3">
      <c r="A112" s="22">
        <f>ROW()-ROW(Table20[[#Headers],[NN°]])</f>
        <v>103</v>
      </c>
      <c r="B112" s="23" t="s">
        <v>149</v>
      </c>
      <c r="C112" s="23" t="str">
        <f>INDEX(Table20[[#This Row],[English]:[Other]],MATCH($D$1,$D$9:$I$9,0))</f>
        <v>per</v>
      </c>
      <c r="D112" s="32" t="s">
        <v>208</v>
      </c>
      <c r="E112" s="32" t="s">
        <v>209</v>
      </c>
      <c r="F112" s="32"/>
      <c r="G112" s="32"/>
      <c r="H112" s="32"/>
      <c r="I112" s="33"/>
    </row>
    <row r="113" spans="1:9" x14ac:dyDescent="0.3">
      <c r="A113" s="22">
        <f>ROW()-ROW(Table20[[#Headers],[NN°]])</f>
        <v>104</v>
      </c>
      <c r="B113" s="23" t="s">
        <v>149</v>
      </c>
      <c r="C113" s="23" t="str">
        <f>INDEX(Table20[[#This Row],[English]:[Other]],MATCH($D$1,$D$9:$I$9,0))</f>
        <v>reuse</v>
      </c>
      <c r="D113" s="32" t="s">
        <v>185</v>
      </c>
      <c r="E113" s="32" t="s">
        <v>186</v>
      </c>
      <c r="F113" s="32"/>
      <c r="G113" s="32"/>
      <c r="H113" s="32"/>
      <c r="I113" s="33"/>
    </row>
    <row r="114" spans="1:9" x14ac:dyDescent="0.3">
      <c r="A114" s="22">
        <f>ROW()-ROW(Table20[[#Headers],[NN°]])</f>
        <v>105</v>
      </c>
      <c r="B114" s="23" t="s">
        <v>149</v>
      </c>
      <c r="C114" s="36">
        <f>INDEX(Table20[[#This Row],[English]:[Other]],MATCH($D$1,$D$9:$I$9,0))</f>
        <v>0</v>
      </c>
      <c r="D114" s="32">
        <v>0</v>
      </c>
      <c r="E114" s="32">
        <v>0</v>
      </c>
      <c r="F114" s="32"/>
      <c r="G114" s="32"/>
      <c r="H114" s="32"/>
      <c r="I114" s="33"/>
    </row>
    <row r="115" spans="1:9" x14ac:dyDescent="0.3">
      <c r="A115" s="22">
        <f>ROW()-ROW(Table20[[#Headers],[NN°]])</f>
        <v>106</v>
      </c>
      <c r="B115" s="23" t="s">
        <v>149</v>
      </c>
      <c r="C115" s="36">
        <f>INDEX(Table20[[#This Row],[English]:[Other]],MATCH($D$1,$D$9:$I$9,0))</f>
        <v>1</v>
      </c>
      <c r="D115" s="32">
        <v>1</v>
      </c>
      <c r="E115" s="32">
        <v>1</v>
      </c>
      <c r="F115" s="32"/>
      <c r="G115" s="32"/>
      <c r="H115" s="32"/>
      <c r="I115" s="33"/>
    </row>
    <row r="116" spans="1:9" x14ac:dyDescent="0.3">
      <c r="A116" s="22">
        <f>ROW()-ROW(Table20[[#Headers],[NN°]])</f>
        <v>107</v>
      </c>
      <c r="B116" s="23" t="s">
        <v>149</v>
      </c>
      <c r="C116" s="36">
        <f>INDEX(Table20[[#This Row],[English]:[Other]],MATCH($D$1,$D$9:$I$9,0))</f>
        <v>2</v>
      </c>
      <c r="D116" s="32">
        <v>2</v>
      </c>
      <c r="E116" s="32">
        <v>2</v>
      </c>
      <c r="F116" s="32"/>
      <c r="G116" s="32"/>
      <c r="H116" s="32"/>
      <c r="I116" s="33"/>
    </row>
    <row r="117" spans="1:9" x14ac:dyDescent="0.3">
      <c r="A117" s="22">
        <f>ROW()-ROW(Table20[[#Headers],[NN°]])</f>
        <v>108</v>
      </c>
      <c r="B117" s="23" t="s">
        <v>149</v>
      </c>
      <c r="C117" s="36">
        <v>3</v>
      </c>
      <c r="D117" s="32">
        <v>3</v>
      </c>
      <c r="E117" s="32">
        <v>3</v>
      </c>
      <c r="F117" s="32"/>
      <c r="G117" s="32"/>
      <c r="H117" s="32"/>
      <c r="I117" s="33"/>
    </row>
    <row r="118" spans="1:9" x14ac:dyDescent="0.3">
      <c r="A118" s="22">
        <f>ROW()-ROW(Table20[[#Headers],[NN°]])</f>
        <v>109</v>
      </c>
      <c r="B118" s="23" t="s">
        <v>149</v>
      </c>
      <c r="C118" s="36">
        <f>INDEX(Table20[[#This Row],[English]:[Other]],MATCH($D$1,$D$9:$I$9,0))</f>
        <v>4</v>
      </c>
      <c r="D118" s="32">
        <v>4</v>
      </c>
      <c r="E118" s="32">
        <v>4</v>
      </c>
      <c r="F118" s="32"/>
      <c r="G118" s="32"/>
      <c r="H118" s="32"/>
      <c r="I118" s="33"/>
    </row>
    <row r="119" spans="1:9" x14ac:dyDescent="0.3">
      <c r="A119" s="22">
        <f>ROW()-ROW(Table20[[#Headers],[NN°]])</f>
        <v>110</v>
      </c>
      <c r="B119" s="23" t="s">
        <v>149</v>
      </c>
      <c r="C119" s="23" t="str">
        <f>INDEX(Table20[[#This Row],[English]:[Other]],MATCH($D$1,$D$9:$I$9,0))</f>
        <v>days</v>
      </c>
      <c r="D119" s="32" t="s">
        <v>215</v>
      </c>
      <c r="E119" s="32" t="s">
        <v>216</v>
      </c>
      <c r="F119" s="32"/>
      <c r="G119" s="32"/>
      <c r="H119" s="32"/>
      <c r="I119" s="33"/>
    </row>
    <row r="120" spans="1:9" x14ac:dyDescent="0.3">
      <c r="A120" s="72">
        <f>ROW()-ROW(Table20[[#Headers],[NN°]])</f>
        <v>111</v>
      </c>
      <c r="B120" s="23" t="s">
        <v>149</v>
      </c>
      <c r="C120" s="23" t="str">
        <f>INDEX(Table20[[#This Row],[English]:[Other]],MATCH($D$1,$D$9:$I$9,0))</f>
        <v>Frequency of sessions</v>
      </c>
      <c r="D120" s="75" t="s">
        <v>169</v>
      </c>
      <c r="E120" s="75" t="s">
        <v>210</v>
      </c>
      <c r="F120" s="73"/>
      <c r="G120" s="73"/>
      <c r="H120" s="73"/>
      <c r="I120" s="74"/>
    </row>
    <row r="121" spans="1:9" x14ac:dyDescent="0.3">
      <c r="A121" s="72">
        <f>ROW()-ROW(Table20[[#Headers],[NN°]])</f>
        <v>112</v>
      </c>
      <c r="B121" s="23" t="s">
        <v>149</v>
      </c>
      <c r="C121" s="23" t="str">
        <f>INDEX(Table20[[#This Row],[English]:[Other]],MATCH($D$1,$D$9:$I$9,0))</f>
        <v>Anticipated total wastage (close-vial &amp; open-vial)</v>
      </c>
      <c r="D121" s="75" t="s">
        <v>354</v>
      </c>
      <c r="E121" s="75" t="s">
        <v>353</v>
      </c>
      <c r="F121" s="73"/>
      <c r="G121" s="73"/>
      <c r="H121" s="73"/>
      <c r="I121" s="74"/>
    </row>
    <row r="122" spans="1:9" x14ac:dyDescent="0.3">
      <c r="A122" s="72">
        <f>ROW()-ROW(Table20[[#Headers],[NN°]])</f>
        <v>113</v>
      </c>
      <c r="B122" s="23" t="s">
        <v>149</v>
      </c>
      <c r="C122" s="23" t="str">
        <f>INDEX(Table20[[#This Row],[English]:[Other]],MATCH($D$1,$D$9:$I$9,0))</f>
        <v>Anticipated opened vial wastage</v>
      </c>
      <c r="D122" s="75" t="s">
        <v>211</v>
      </c>
      <c r="E122" s="75" t="s">
        <v>212</v>
      </c>
      <c r="F122" s="73"/>
      <c r="G122" s="73"/>
      <c r="H122" s="73"/>
      <c r="I122" s="74"/>
    </row>
    <row r="123" spans="1:9" x14ac:dyDescent="0.3">
      <c r="A123" s="72">
        <f>ROW()-ROW(Table20[[#Headers],[NN°]])</f>
        <v>114</v>
      </c>
      <c r="B123" s="23" t="s">
        <v>149</v>
      </c>
      <c r="C123" s="23" t="str">
        <f>INDEX(Table20[[#This Row],[English]:[Other]],MATCH($D$1,$D$9:$I$9,0))</f>
        <v>Vial size</v>
      </c>
      <c r="D123" s="73" t="s">
        <v>166</v>
      </c>
      <c r="E123" s="76" t="s">
        <v>213</v>
      </c>
      <c r="F123" s="73"/>
      <c r="G123" s="73"/>
      <c r="H123" s="73"/>
      <c r="I123" s="74"/>
    </row>
    <row r="124" spans="1:9" x14ac:dyDescent="0.3">
      <c r="A124" s="72">
        <f>ROW()-ROW(Table20[[#Headers],[NN°]])</f>
        <v>115</v>
      </c>
      <c r="B124" s="23" t="s">
        <v>149</v>
      </c>
      <c r="C124" s="23" t="str">
        <f>INDEX(Table20[[#This Row],[English]:[Other]],MATCH($D$1,$D$9:$I$9,0))</f>
        <v>doses/vial</v>
      </c>
      <c r="D124" s="73" t="s">
        <v>198</v>
      </c>
      <c r="E124" s="76" t="s">
        <v>214</v>
      </c>
      <c r="F124" s="73"/>
      <c r="G124" s="73"/>
      <c r="H124" s="73"/>
      <c r="I124" s="74"/>
    </row>
    <row r="125" spans="1:9" x14ac:dyDescent="0.3">
      <c r="A125" s="72">
        <f>ROW()-ROW(Table20[[#Headers],[NN°]])</f>
        <v>116</v>
      </c>
      <c r="B125" s="23" t="s">
        <v>149</v>
      </c>
      <c r="C125" s="23" t="str">
        <f>INDEX(Table20[[#This Row],[English]:[Other]],MATCH($D$1,$D$9:$I$9,0))</f>
        <v>$US/dose</v>
      </c>
      <c r="D125" s="76" t="s">
        <v>366</v>
      </c>
      <c r="E125" s="76" t="s">
        <v>366</v>
      </c>
      <c r="F125" s="73"/>
      <c r="G125" s="73"/>
      <c r="H125" s="73"/>
      <c r="I125" s="74"/>
    </row>
    <row r="126" spans="1:9" x14ac:dyDescent="0.3">
      <c r="A126" s="69">
        <f>ROW()-ROW(Table20[[#Headers],[NN°]])</f>
        <v>117</v>
      </c>
      <c r="B126" s="23" t="s">
        <v>149</v>
      </c>
      <c r="C126" s="23" t="str">
        <f>INDEX(Table20[[#This Row],[English]:[Other]],MATCH($D$1,$D$9:$I$9,0))</f>
        <v>Closed vial wastage per level</v>
      </c>
      <c r="D126" s="70" t="s">
        <v>168</v>
      </c>
      <c r="E126" s="27" t="s">
        <v>217</v>
      </c>
      <c r="F126" s="70"/>
      <c r="G126" s="70"/>
      <c r="H126" s="70"/>
      <c r="I126" s="71"/>
    </row>
    <row r="127" spans="1:9" x14ac:dyDescent="0.3">
      <c r="A127" s="69">
        <f>ROW()-ROW(Table20[[#Headers],[NN°]])</f>
        <v>118</v>
      </c>
      <c r="B127" s="23" t="s">
        <v>149</v>
      </c>
      <c r="C127" s="23" t="str">
        <f>INDEX(Table20[[#This Row],[English]:[Other]],MATCH($D$1,$D$9:$I$9,0))</f>
        <v>Avoidable opened vial wastage</v>
      </c>
      <c r="D127" s="73" t="s">
        <v>180</v>
      </c>
      <c r="E127" s="76" t="s">
        <v>218</v>
      </c>
      <c r="F127" s="73"/>
      <c r="G127" s="73"/>
      <c r="H127" s="73"/>
      <c r="I127" s="74"/>
    </row>
    <row r="128" spans="1:9" x14ac:dyDescent="0.3">
      <c r="A128" s="69">
        <f>ROW()-ROW(Table20[[#Headers],[NN°]])</f>
        <v>119</v>
      </c>
      <c r="B128" s="23" t="s">
        <v>149</v>
      </c>
      <c r="C128" s="23" t="str">
        <f>INDEX(Table20[[#This Row],[English]:[Other]],MATCH($D$1,$D$9:$I$9,0))</f>
        <v>No. of supply chain levels</v>
      </c>
      <c r="D128" s="73" t="s">
        <v>167</v>
      </c>
      <c r="E128" s="76" t="s">
        <v>219</v>
      </c>
      <c r="F128" s="73"/>
      <c r="G128" s="73"/>
      <c r="H128" s="73"/>
      <c r="I128" s="74"/>
    </row>
    <row r="129" spans="1:9" x14ac:dyDescent="0.3">
      <c r="A129" s="69">
        <f>ROW()-ROW(Table20[[#Headers],[NN°]])</f>
        <v>120</v>
      </c>
      <c r="B129" s="23" t="s">
        <v>225</v>
      </c>
      <c r="C129" s="23" t="str">
        <f>INDEX(Table20[[#This Row],[English]:[Other]],MATCH($D$1,$D$9:$I$9,0))</f>
        <v>WHO Indicative Wastage Rates - estimations</v>
      </c>
      <c r="D129" s="76" t="s">
        <v>305</v>
      </c>
      <c r="E129" s="76" t="s">
        <v>306</v>
      </c>
      <c r="F129" s="73"/>
      <c r="G129" s="73"/>
      <c r="H129" s="73"/>
      <c r="I129" s="74"/>
    </row>
    <row r="130" spans="1:9" x14ac:dyDescent="0.3">
      <c r="A130" s="69">
        <f>ROW()-ROW(Table20[[#Headers],[NN°]])</f>
        <v>121</v>
      </c>
      <c r="B130" s="23" t="s">
        <v>225</v>
      </c>
      <c r="C130" s="23" t="str">
        <f>INDEX(Table20[[#This Row],[English]:[Other]],MATCH($D$1,$D$9:$I$9,0))</f>
        <v>Binomial distribution of doses administered per session</v>
      </c>
      <c r="D130" s="70" t="s">
        <v>177</v>
      </c>
      <c r="E130" s="97" t="s">
        <v>226</v>
      </c>
      <c r="F130" s="70"/>
      <c r="G130" s="70"/>
      <c r="H130" s="70"/>
      <c r="I130" s="71"/>
    </row>
    <row r="131" spans="1:9" x14ac:dyDescent="0.3">
      <c r="A131" s="69">
        <f>ROW()-ROW(Table20[[#Headers],[NN°]])</f>
        <v>122</v>
      </c>
      <c r="B131" s="23" t="s">
        <v>225</v>
      </c>
      <c r="C131" s="23" t="str">
        <f>INDEX(Table20[[#This Row],[English]:[Other]],MATCH($D$1,$D$9:$I$9,0))</f>
        <v>No. doses anticipated per session</v>
      </c>
      <c r="D131" s="76" t="s">
        <v>176</v>
      </c>
      <c r="E131" s="76" t="s">
        <v>342</v>
      </c>
      <c r="F131" s="73"/>
      <c r="G131" s="73"/>
      <c r="H131" s="73"/>
      <c r="I131" s="74"/>
    </row>
    <row r="132" spans="1:9" x14ac:dyDescent="0.3">
      <c r="A132" s="69">
        <f>ROW()-ROW(Table20[[#Headers],[NN°]])</f>
        <v>123</v>
      </c>
      <c r="B132" s="23" t="s">
        <v>225</v>
      </c>
      <c r="C132" s="23" t="str">
        <f>INDEX(Table20[[#This Row],[English]:[Other]],MATCH($D$1,$D$9:$I$9,0))</f>
        <v>Service level</v>
      </c>
      <c r="D132" s="76" t="s">
        <v>363</v>
      </c>
      <c r="E132" s="76" t="s">
        <v>364</v>
      </c>
      <c r="F132" s="73"/>
      <c r="G132" s="73"/>
      <c r="H132" s="73"/>
      <c r="I132" s="74"/>
    </row>
    <row r="133" spans="1:9" x14ac:dyDescent="0.3">
      <c r="A133" s="80">
        <f>ROW()-ROW(Table20[[#Headers],[NN°]])</f>
        <v>124</v>
      </c>
      <c r="B133" s="31" t="s">
        <v>265</v>
      </c>
      <c r="C133" s="81" t="str">
        <f>INDEX(Table20[[#This Row],[English]:[Other]],MATCH($D$1,$D$9:$I$9,0))</f>
        <v>Summary of health facility vaccine forecasts</v>
      </c>
      <c r="D133" s="27" t="s">
        <v>260</v>
      </c>
      <c r="E133" s="27" t="s">
        <v>261</v>
      </c>
      <c r="F133" s="82"/>
      <c r="G133" s="82"/>
      <c r="H133" s="82"/>
      <c r="I133" s="83"/>
    </row>
    <row r="134" spans="1:9" ht="23.15" x14ac:dyDescent="0.3">
      <c r="A134" s="80">
        <f>ROW()-ROW(Table20[[#Headers],[NN°]])</f>
        <v>125</v>
      </c>
      <c r="B134" s="31" t="s">
        <v>265</v>
      </c>
      <c r="C134" s="81" t="str">
        <f>INDEX(Table20[[#This Row],[English]:[Other]],MATCH($D$1,$D$9:$I$9,0))</f>
        <v>Summary of health facility forecasts of safe injection supplies</v>
      </c>
      <c r="D134" s="27" t="s">
        <v>352</v>
      </c>
      <c r="E134" s="27" t="s">
        <v>351</v>
      </c>
      <c r="F134" s="82"/>
      <c r="G134" s="82"/>
      <c r="H134" s="82"/>
      <c r="I134" s="83"/>
    </row>
    <row r="135" spans="1:9" x14ac:dyDescent="0.3">
      <c r="A135" s="80">
        <f>ROW()-ROW(Table20[[#Headers],[NN°]])</f>
        <v>126</v>
      </c>
      <c r="B135" s="31" t="s">
        <v>265</v>
      </c>
      <c r="C135" s="81" t="str">
        <f>INDEX(Table20[[#This Row],[English]:[Other]],MATCH($D$1,$D$9:$I$9,0))</f>
        <v>Groups</v>
      </c>
      <c r="D135" s="82" t="s">
        <v>249</v>
      </c>
      <c r="E135" s="27" t="s">
        <v>250</v>
      </c>
      <c r="F135" s="82"/>
      <c r="G135" s="82"/>
      <c r="H135" s="82"/>
      <c r="I135" s="83"/>
    </row>
    <row r="136" spans="1:9" x14ac:dyDescent="0.3">
      <c r="A136" s="80">
        <f>ROW()-ROW(Table20[[#Headers],[NN°]])</f>
        <v>127</v>
      </c>
      <c r="B136" s="31" t="s">
        <v>265</v>
      </c>
      <c r="C136" s="81" t="str">
        <f>INDEX(Table20[[#This Row],[English]:[Other]],MATCH($D$1,$D$9:$I$9,0))</f>
        <v>No.</v>
      </c>
      <c r="D136" s="27" t="s">
        <v>246</v>
      </c>
      <c r="E136" s="27" t="s">
        <v>262</v>
      </c>
      <c r="F136" s="82"/>
      <c r="G136" s="82"/>
      <c r="H136" s="82"/>
      <c r="I136" s="83"/>
    </row>
    <row r="137" spans="1:9" x14ac:dyDescent="0.3">
      <c r="A137" s="80">
        <f>ROW()-ROW(Table20[[#Headers],[NN°]])</f>
        <v>128</v>
      </c>
      <c r="B137" s="31" t="s">
        <v>265</v>
      </c>
      <c r="C137" s="81" t="str">
        <f>INDEX(Table20[[#This Row],[English]:[Other]],MATCH($D$1,$D$9:$I$9,0))</f>
        <v>Doses per target</v>
      </c>
      <c r="D137" s="27" t="s">
        <v>263</v>
      </c>
      <c r="E137" s="27" t="s">
        <v>264</v>
      </c>
      <c r="F137" s="82"/>
      <c r="G137" s="82"/>
      <c r="H137" s="82"/>
      <c r="I137" s="83"/>
    </row>
    <row r="138" spans="1:9" x14ac:dyDescent="0.3">
      <c r="A138" s="84">
        <f>ROW()-ROW(Table20[[#Headers],[NN°]])</f>
        <v>129</v>
      </c>
      <c r="B138" s="31" t="s">
        <v>265</v>
      </c>
      <c r="C138" s="81" t="str">
        <f>INDEX(Table20[[#This Row],[English]:[Other]],MATCH($D$1,$D$9:$I$9,0))</f>
        <v>Coverage expected</v>
      </c>
      <c r="D138" s="76" t="s">
        <v>269</v>
      </c>
      <c r="E138" s="76" t="s">
        <v>268</v>
      </c>
      <c r="F138" s="85"/>
      <c r="G138" s="85"/>
      <c r="H138" s="85"/>
      <c r="I138" s="86"/>
    </row>
    <row r="139" spans="1:9" x14ac:dyDescent="0.3">
      <c r="A139" s="80">
        <f>ROW()-ROW(Table20[[#Headers],[NN°]])</f>
        <v>130</v>
      </c>
      <c r="B139" s="31" t="s">
        <v>265</v>
      </c>
      <c r="C139" s="81" t="str">
        <f>INDEX(Table20[[#This Row],[English]:[Other]],MATCH($D$1,$D$9:$I$9,0))</f>
        <v>Sessions per week</v>
      </c>
      <c r="D139" s="82" t="s">
        <v>242</v>
      </c>
      <c r="E139" s="27" t="s">
        <v>251</v>
      </c>
      <c r="F139" s="82"/>
      <c r="G139" s="82"/>
      <c r="H139" s="82"/>
      <c r="I139" s="83"/>
    </row>
    <row r="140" spans="1:9" x14ac:dyDescent="0.3">
      <c r="A140" s="80">
        <f>ROW()-ROW(Table20[[#Headers],[NN°]])</f>
        <v>131</v>
      </c>
      <c r="B140" s="31" t="s">
        <v>265</v>
      </c>
      <c r="C140" s="81" t="str">
        <f>INDEX(Table20[[#This Row],[English]:[Other]],MATCH($D$1,$D$9:$I$9,0))</f>
        <v>Weeks per year</v>
      </c>
      <c r="D140" s="82" t="s">
        <v>243</v>
      </c>
      <c r="E140" s="27" t="s">
        <v>252</v>
      </c>
      <c r="F140" s="82"/>
      <c r="G140" s="82"/>
      <c r="H140" s="82"/>
      <c r="I140" s="83"/>
    </row>
    <row r="141" spans="1:9" x14ac:dyDescent="0.3">
      <c r="A141" s="84">
        <f>ROW()-ROW(Table20[[#Headers],[NN°]])</f>
        <v>132</v>
      </c>
      <c r="B141" s="31" t="s">
        <v>265</v>
      </c>
      <c r="C141" s="81" t="str">
        <f>INDEX(Table20[[#This Row],[English]:[Other]],MATCH($D$1,$D$9:$I$9,0))</f>
        <v>Doses per vial</v>
      </c>
      <c r="D141" s="76" t="s">
        <v>266</v>
      </c>
      <c r="E141" s="76" t="s">
        <v>267</v>
      </c>
      <c r="F141" s="85"/>
      <c r="G141" s="85"/>
      <c r="H141" s="85"/>
      <c r="I141" s="86"/>
    </row>
    <row r="142" spans="1:9" x14ac:dyDescent="0.3">
      <c r="A142" s="84">
        <f>ROW()-ROW(Table20[[#Headers],[NN°]])</f>
        <v>133</v>
      </c>
      <c r="B142" s="31" t="s">
        <v>265</v>
      </c>
      <c r="C142" s="81" t="str">
        <f>INDEX(Table20[[#This Row],[English]:[Other]],MATCH($D$1,$D$9:$I$9,0))</f>
        <v>Multidose Vial Policy</v>
      </c>
      <c r="D142" s="76" t="s">
        <v>320</v>
      </c>
      <c r="E142" s="76" t="s">
        <v>321</v>
      </c>
      <c r="F142" s="85"/>
      <c r="G142" s="85"/>
      <c r="H142" s="85"/>
      <c r="I142" s="86"/>
    </row>
    <row r="143" spans="1:9" x14ac:dyDescent="0.3">
      <c r="A143" s="84">
        <f>ROW()-ROW(Table20[[#Headers],[NN°]])</f>
        <v>134</v>
      </c>
      <c r="B143" s="31" t="s">
        <v>265</v>
      </c>
      <c r="C143" s="81" t="str">
        <f>INDEX(Table20[[#This Row],[English]:[Other]],MATCH($D$1,$D$9:$I$9,0))</f>
        <v>Mean session size</v>
      </c>
      <c r="D143" s="76" t="s">
        <v>227</v>
      </c>
      <c r="E143" s="76" t="s">
        <v>270</v>
      </c>
      <c r="F143" s="85"/>
      <c r="G143" s="85"/>
      <c r="H143" s="85"/>
      <c r="I143" s="86"/>
    </row>
    <row r="144" spans="1:9" x14ac:dyDescent="0.3">
      <c r="A144" s="80">
        <f>ROW()-ROW(Table20[[#Headers],[NN°]])</f>
        <v>135</v>
      </c>
      <c r="B144" s="31" t="s">
        <v>265</v>
      </c>
      <c r="C144" s="81" t="str">
        <f>INDEX(Table20[[#This Row],[English]:[Other]],MATCH($D$1,$D$9:$I$9,0))</f>
        <v>Anticipated wastage rate</v>
      </c>
      <c r="D144" s="82" t="s">
        <v>244</v>
      </c>
      <c r="E144" s="27" t="s">
        <v>253</v>
      </c>
      <c r="F144" s="82"/>
      <c r="G144" s="82"/>
      <c r="H144" s="82"/>
      <c r="I144" s="83"/>
    </row>
    <row r="145" spans="1:9" x14ac:dyDescent="0.3">
      <c r="A145" s="84">
        <f>ROW()-ROW(Table20[[#Headers],[NN°]])</f>
        <v>136</v>
      </c>
      <c r="B145" s="31" t="s">
        <v>265</v>
      </c>
      <c r="C145" s="81" t="str">
        <f>INDEX(Table20[[#This Row],[English]:[Other]],MATCH($D$1,$D$9:$I$9,0))</f>
        <v>Doses needed</v>
      </c>
      <c r="D145" s="76" t="s">
        <v>245</v>
      </c>
      <c r="E145" s="76" t="s">
        <v>254</v>
      </c>
      <c r="F145" s="85"/>
      <c r="G145" s="85"/>
      <c r="H145" s="85"/>
      <c r="I145" s="86"/>
    </row>
    <row r="146" spans="1:9" x14ac:dyDescent="0.3">
      <c r="A146" s="80">
        <f>ROW()-ROW(Table20[[#Headers],[NN°]])</f>
        <v>137</v>
      </c>
      <c r="B146" s="31" t="s">
        <v>265</v>
      </c>
      <c r="C146" s="81" t="str">
        <f>INDEX(Table20[[#This Row],[English]:[Other]],MATCH($D$1,$D$9:$I$9,0))</f>
        <v>Annual</v>
      </c>
      <c r="D146" s="82" t="s">
        <v>247</v>
      </c>
      <c r="E146" s="27" t="s">
        <v>255</v>
      </c>
      <c r="F146" s="82"/>
      <c r="G146" s="82"/>
      <c r="H146" s="82"/>
      <c r="I146" s="83"/>
    </row>
    <row r="147" spans="1:9" x14ac:dyDescent="0.3">
      <c r="A147" s="84">
        <f>ROW()-ROW(Table20[[#Headers],[NN°]])</f>
        <v>138</v>
      </c>
      <c r="B147" s="31" t="s">
        <v>265</v>
      </c>
      <c r="C147" s="81" t="str">
        <f>INDEX(Table20[[#This Row],[English]:[Other]],MATCH($D$1,$D$9:$I$9,0))</f>
        <v>Monthly</v>
      </c>
      <c r="D147" s="85" t="s">
        <v>248</v>
      </c>
      <c r="E147" s="76" t="s">
        <v>256</v>
      </c>
      <c r="F147" s="85"/>
      <c r="G147" s="85"/>
      <c r="H147" s="85"/>
      <c r="I147" s="86"/>
    </row>
    <row r="148" spans="1:9" x14ac:dyDescent="0.3">
      <c r="A148" s="84">
        <f>ROW()-ROW(Table20[[#Headers],[NN°]])</f>
        <v>139</v>
      </c>
      <c r="B148" s="31" t="s">
        <v>265</v>
      </c>
      <c r="C148" s="81" t="str">
        <f>INDEX(Table20[[#This Row],[English]:[Other]],MATCH($D$1,$D$9:$I$9,0))</f>
        <v>Safety stock</v>
      </c>
      <c r="D148" s="76" t="s">
        <v>259</v>
      </c>
      <c r="E148" s="76" t="s">
        <v>257</v>
      </c>
      <c r="F148" s="85"/>
      <c r="G148" s="85"/>
      <c r="H148" s="85"/>
      <c r="I148" s="86"/>
    </row>
    <row r="149" spans="1:9" x14ac:dyDescent="0.3">
      <c r="A149" s="84">
        <f>ROW()-ROW(Table20[[#Headers],[NN°]])</f>
        <v>140</v>
      </c>
      <c r="B149" s="31" t="s">
        <v>265</v>
      </c>
      <c r="C149" s="81" t="str">
        <f>INDEX(Table20[[#This Row],[English]:[Other]],MATCH($D$1,$D$9:$I$9,0))</f>
        <v>doses</v>
      </c>
      <c r="D149" s="76" t="s">
        <v>258</v>
      </c>
      <c r="E149" s="76" t="s">
        <v>258</v>
      </c>
      <c r="F149" s="85"/>
      <c r="G149" s="85"/>
      <c r="H149" s="85"/>
      <c r="I149" s="86"/>
    </row>
    <row r="150" spans="1:9" x14ac:dyDescent="0.3">
      <c r="A150" s="88">
        <f>ROW()-ROW(Table20[[#Headers],[NN°]])</f>
        <v>141</v>
      </c>
      <c r="B150" s="31" t="s">
        <v>265</v>
      </c>
      <c r="C150" s="81" t="str">
        <f>INDEX(Table20[[#This Row],[English]:[Other]],MATCH($D$1,$D$9:$I$9,0))</f>
        <v>No. of weeks an opened vial of vaccine is used</v>
      </c>
      <c r="D150" s="76" t="s">
        <v>340</v>
      </c>
      <c r="E150" s="76" t="s">
        <v>341</v>
      </c>
      <c r="F150" s="76"/>
      <c r="G150" s="76"/>
      <c r="H150" s="76"/>
      <c r="I150" s="89"/>
    </row>
    <row r="151" spans="1:9" x14ac:dyDescent="0.3">
      <c r="A151" s="84">
        <f>ROW()-ROW(Table20[[#Headers],[NN°]])</f>
        <v>142</v>
      </c>
      <c r="B151" s="31" t="s">
        <v>265</v>
      </c>
      <c r="C151" s="81" t="str">
        <f>INDEX(Table20[[#This Row],[English]:[Other]],MATCH($D$1,$D$9:$I$9,0))</f>
        <v>Doses of vials opened per session</v>
      </c>
      <c r="D151" s="76" t="s">
        <v>276</v>
      </c>
      <c r="E151" s="76" t="s">
        <v>278</v>
      </c>
      <c r="F151" s="85"/>
      <c r="G151" s="85"/>
      <c r="H151" s="85"/>
      <c r="I151" s="86"/>
    </row>
    <row r="152" spans="1:9" x14ac:dyDescent="0.3">
      <c r="A152" s="80">
        <f>ROW()-ROW(Table20[[#Headers],[NN°]])</f>
        <v>143</v>
      </c>
      <c r="B152" s="31" t="s">
        <v>265</v>
      </c>
      <c r="C152" s="81" t="str">
        <f>INDEX(Table20[[#This Row],[English]:[Other]],MATCH($D$1,$D$9:$I$9,0))</f>
        <v>Doses administered per session</v>
      </c>
      <c r="D152" s="76" t="s">
        <v>277</v>
      </c>
      <c r="E152" s="27" t="s">
        <v>279</v>
      </c>
      <c r="F152" s="82"/>
      <c r="G152" s="82"/>
      <c r="H152" s="82"/>
      <c r="I152" s="83"/>
    </row>
    <row r="153" spans="1:9" x14ac:dyDescent="0.3">
      <c r="A153" s="88">
        <f>ROW()-ROW(Table20[[#Headers],[NN°]])</f>
        <v>144</v>
      </c>
      <c r="B153" s="90" t="s">
        <v>265</v>
      </c>
      <c r="C153" s="81" t="str">
        <f>INDEX(Table20[[#This Row],[English]:[Other]],MATCH($D$1,$D$9:$I$9,0))</f>
        <v>Estimated vaccine cost ($US)</v>
      </c>
      <c r="D153" s="76" t="s">
        <v>368</v>
      </c>
      <c r="E153" s="76" t="s">
        <v>369</v>
      </c>
      <c r="F153" s="76"/>
      <c r="G153" s="76"/>
      <c r="H153" s="76"/>
      <c r="I153" s="89"/>
    </row>
    <row r="154" spans="1:9" x14ac:dyDescent="0.3">
      <c r="A154" s="88">
        <f>ROW()-ROW(Table20[[#Headers],[NN°]])</f>
        <v>145</v>
      </c>
      <c r="B154" s="90" t="s">
        <v>265</v>
      </c>
      <c r="C154" s="81" t="str">
        <f>INDEX(Table20[[#This Row],[English]:[Other]],MATCH($D$1,$D$9:$I$9,0))</f>
        <v>Total doses administered</v>
      </c>
      <c r="D154" s="76" t="s">
        <v>290</v>
      </c>
      <c r="E154" s="76" t="s">
        <v>291</v>
      </c>
      <c r="F154" s="76"/>
      <c r="G154" s="76"/>
      <c r="H154" s="76"/>
      <c r="I154" s="89"/>
    </row>
    <row r="155" spans="1:9" x14ac:dyDescent="0.3">
      <c r="A155" s="88">
        <f>ROW()-ROW(Table20[[#Headers],[NN°]])</f>
        <v>146</v>
      </c>
      <c r="B155" s="90" t="s">
        <v>265</v>
      </c>
      <c r="C155" s="81" t="str">
        <f>INDEX(Table20[[#This Row],[English]:[Other]],MATCH($D$1,$D$9:$I$9,0))</f>
        <v>Annual vaccination sessions</v>
      </c>
      <c r="D155" s="76" t="s">
        <v>288</v>
      </c>
      <c r="E155" s="76" t="s">
        <v>286</v>
      </c>
      <c r="F155" s="76"/>
      <c r="G155" s="76"/>
      <c r="H155" s="76"/>
      <c r="I155" s="89"/>
    </row>
    <row r="156" spans="1:9" x14ac:dyDescent="0.3">
      <c r="A156" s="88">
        <f>ROW()-ROW(Table20[[#Headers],[NN°]])</f>
        <v>147</v>
      </c>
      <c r="B156" s="90" t="s">
        <v>265</v>
      </c>
      <c r="C156" s="81" t="str">
        <f>INDEX(Table20[[#This Row],[English]:[Other]],MATCH($D$1,$D$9:$I$9,0))</f>
        <v>Reported wastage rates</v>
      </c>
      <c r="D156" s="76" t="s">
        <v>289</v>
      </c>
      <c r="E156" s="76" t="s">
        <v>287</v>
      </c>
      <c r="F156" s="76"/>
      <c r="G156" s="76"/>
      <c r="H156" s="76"/>
      <c r="I156" s="89"/>
    </row>
    <row r="157" spans="1:9" x14ac:dyDescent="0.3">
      <c r="A157" s="88">
        <f>ROW()-ROW(Table20[[#Headers],[NN°]])</f>
        <v>148</v>
      </c>
      <c r="B157" s="90" t="s">
        <v>265</v>
      </c>
      <c r="C157" s="81" t="str">
        <f>INDEX(Table20[[#This Row],[English]:[Other]],MATCH($D$1,$D$9:$I$9,0))</f>
        <v>Wastage rates - anticipated and reported</v>
      </c>
      <c r="D157" s="76" t="s">
        <v>293</v>
      </c>
      <c r="E157" s="76" t="s">
        <v>292</v>
      </c>
      <c r="F157" s="76"/>
      <c r="G157" s="76"/>
      <c r="H157" s="76"/>
      <c r="I157" s="89"/>
    </row>
    <row r="158" spans="1:9" x14ac:dyDescent="0.3">
      <c r="A158" s="100">
        <f>ROW()-ROW(Table20[[#Headers],[NN°]])</f>
        <v>149</v>
      </c>
      <c r="B158" s="104" t="s">
        <v>313</v>
      </c>
      <c r="C158" s="103" t="str">
        <f>INDEX(Table20[[#This Row],[English]:[Other]],MATCH($D$1,$D$9:$I$9,0))</f>
        <v>SPECIAL INSTRUCTIONS</v>
      </c>
      <c r="D158" s="76" t="s">
        <v>1</v>
      </c>
      <c r="E158" s="76" t="s">
        <v>1</v>
      </c>
      <c r="F158" s="101"/>
      <c r="G158" s="101"/>
      <c r="H158" s="101"/>
      <c r="I158" s="102"/>
    </row>
    <row r="159" spans="1:9" x14ac:dyDescent="0.3">
      <c r="A159" s="100">
        <f>ROW()-ROW(Table20[[#Headers],[NN°]])</f>
        <v>150</v>
      </c>
      <c r="B159" s="104" t="s">
        <v>313</v>
      </c>
      <c r="C159" s="103" t="str">
        <f>INDEX(Table20[[#This Row],[English]:[Other]],MATCH($D$1,$D$9:$I$9,0))</f>
        <v>The cover page contains xxx</v>
      </c>
      <c r="D159" s="76" t="s">
        <v>299</v>
      </c>
      <c r="E159" s="76" t="s">
        <v>299</v>
      </c>
      <c r="F159" s="101"/>
      <c r="G159" s="101"/>
      <c r="H159" s="101"/>
      <c r="I159" s="102"/>
    </row>
    <row r="160" spans="1:9" x14ac:dyDescent="0.3">
      <c r="A160" s="100">
        <f>ROW()-ROW(Table20[[#Headers],[NN°]])</f>
        <v>151</v>
      </c>
      <c r="B160" s="104" t="s">
        <v>313</v>
      </c>
      <c r="C160" s="103" t="str">
        <f>INDEX(Table20[[#This Row],[English]:[Other]],MATCH($D$1,$D$9:$I$9,0))</f>
        <v>Language, country name and year;</v>
      </c>
      <c r="D160" s="76" t="s">
        <v>300</v>
      </c>
      <c r="E160" s="76" t="s">
        <v>300</v>
      </c>
      <c r="F160" s="101"/>
      <c r="G160" s="101"/>
      <c r="H160" s="101"/>
      <c r="I160" s="102"/>
    </row>
    <row r="161" spans="1:9" x14ac:dyDescent="0.3">
      <c r="A161" s="100">
        <f>ROW()-ROW(Table20[[#Headers],[NN°]])</f>
        <v>152</v>
      </c>
      <c r="B161" s="104" t="s">
        <v>313</v>
      </c>
      <c r="C161" s="103" t="str">
        <f>INDEX(Table20[[#This Row],[English]:[Other]],MATCH($D$1,$D$9:$I$9,0))</f>
        <v>Level (National, Subnational, District)</v>
      </c>
      <c r="D161" s="76" t="s">
        <v>314</v>
      </c>
      <c r="E161" s="76" t="s">
        <v>314</v>
      </c>
      <c r="F161" s="101"/>
      <c r="G161" s="101"/>
      <c r="H161" s="101"/>
      <c r="I161" s="102"/>
    </row>
    <row r="162" spans="1:9" x14ac:dyDescent="0.3">
      <c r="A162" s="100">
        <f>ROW()-ROW(Table20[[#Headers],[NN°]])</f>
        <v>153</v>
      </c>
      <c r="B162" s="104" t="s">
        <v>313</v>
      </c>
      <c r="C162" s="103" t="str">
        <f>INDEX(Table20[[#This Row],[English]:[Other]],MATCH($D$1,$D$9:$I$9,0))</f>
        <v>select for each relevant level the appropriate entity.</v>
      </c>
      <c r="D162" s="76" t="s">
        <v>301</v>
      </c>
      <c r="E162" s="76" t="s">
        <v>301</v>
      </c>
      <c r="F162" s="101"/>
      <c r="G162" s="101"/>
      <c r="H162" s="101"/>
      <c r="I162" s="102"/>
    </row>
    <row r="163" spans="1:9" ht="23.15" x14ac:dyDescent="0.3">
      <c r="A163" s="100">
        <f>ROW()-ROW(Table20[[#Headers],[NN°]])</f>
        <v>154</v>
      </c>
      <c r="B163" s="104" t="s">
        <v>313</v>
      </c>
      <c r="C163" s="103" t="str">
        <f>INDEX(Table20[[#This Row],[English]:[Other]],MATCH($D$1,$D$9:$I$9,0))</f>
        <v>List here all the vaccines to be used both for routine and supplementary activities.</v>
      </c>
      <c r="D163" s="76" t="s">
        <v>296</v>
      </c>
      <c r="E163" s="76" t="s">
        <v>296</v>
      </c>
      <c r="F163" s="101"/>
      <c r="G163" s="101"/>
      <c r="H163" s="101"/>
      <c r="I163" s="102"/>
    </row>
    <row r="164" spans="1:9" ht="34.75" x14ac:dyDescent="0.3">
      <c r="A164" s="100">
        <f>ROW()-ROW(Table20[[#Headers],[NN°]])</f>
        <v>155</v>
      </c>
      <c r="B164" s="104" t="s">
        <v>313</v>
      </c>
      <c r="C164" s="103" t="str">
        <f>INDEX(Table20[[#This Row],[English]:[Other]],MATCH($D$1,$D$9:$I$9,0))</f>
        <v>List here all the health facilities involves in the vaccination activities. Indicate for each facility to be listed with the hierarchy (district and subnational).</v>
      </c>
      <c r="D164" s="76" t="s">
        <v>297</v>
      </c>
      <c r="E164" s="76" t="s">
        <v>315</v>
      </c>
      <c r="F164" s="101"/>
      <c r="G164" s="101"/>
      <c r="H164" s="101"/>
      <c r="I164" s="102"/>
    </row>
    <row r="165" spans="1:9" x14ac:dyDescent="0.3">
      <c r="A165" s="100">
        <f>ROW()-ROW(Table20[[#Headers],[NN°]])</f>
        <v>156</v>
      </c>
      <c r="B165" s="104" t="s">
        <v>313</v>
      </c>
      <c r="C165" s="103" t="str">
        <f>INDEX(Table20[[#This Row],[English]:[Other]],MATCH($D$1,$D$9:$I$9,0))</f>
        <v>Type of facility and if it is active or not;</v>
      </c>
      <c r="D165" s="76" t="s">
        <v>298</v>
      </c>
      <c r="E165" s="76" t="s">
        <v>316</v>
      </c>
      <c r="F165" s="101"/>
      <c r="G165" s="101"/>
      <c r="H165" s="101"/>
      <c r="I165" s="102"/>
    </row>
    <row r="166" spans="1:9" ht="23.15" x14ac:dyDescent="0.3">
      <c r="A166" s="100">
        <f>ROW()-ROW(Table20[[#Headers],[NN°]])</f>
        <v>157</v>
      </c>
      <c r="B166" s="104" t="s">
        <v>313</v>
      </c>
      <c r="C166" s="103" t="str">
        <f>INDEX(Table20[[#This Row],[English]:[Other]],MATCH($D$1,$D$9:$I$9,0))</f>
        <v>Total population and distance from/to supplying store.</v>
      </c>
      <c r="D166" s="76" t="s">
        <v>312</v>
      </c>
      <c r="E166" s="76" t="s">
        <v>317</v>
      </c>
      <c r="F166" s="101"/>
      <c r="G166" s="101"/>
      <c r="H166" s="101"/>
      <c r="I166" s="102"/>
    </row>
    <row r="167" spans="1:9" ht="34.75" x14ac:dyDescent="0.3">
      <c r="A167" s="100">
        <f>ROW()-ROW(Table20[[#Headers],[NN°]])</f>
        <v>158</v>
      </c>
      <c r="B167" s="104" t="s">
        <v>313</v>
      </c>
      <c r="C167" s="103" t="str">
        <f>INDEX(Table20[[#This Row],[English]:[Other]],MATCH($D$1,$D$9:$I$9,0))</f>
        <v>Input for each facility the session plan for all the vaccines in routine schedule. Cells for data entry are in yellow from colunm "I" to "U".</v>
      </c>
      <c r="D167" s="76" t="s">
        <v>302</v>
      </c>
      <c r="E167" s="76" t="s">
        <v>302</v>
      </c>
      <c r="F167" s="101"/>
      <c r="G167" s="101"/>
      <c r="H167" s="101"/>
      <c r="I167" s="102"/>
    </row>
    <row r="168" spans="1:9" ht="46.3" x14ac:dyDescent="0.3">
      <c r="A168" s="100">
        <f>ROW()-ROW(Table20[[#Headers],[NN°]])</f>
        <v>159</v>
      </c>
      <c r="B168" s="104" t="s">
        <v>313</v>
      </c>
      <c r="C168" s="103" t="str">
        <f>INDEX(Table20[[#This Row],[English]:[Other]],MATCH($D$1,$D$9:$I$9,0))</f>
        <v>Input for each vaccine the number of weeks use (0, 1, 2, 3 or 4) as per national MDVP. Cells for data entry are in yellow in row 5 from colunm "AK" to "AW".</v>
      </c>
      <c r="D168" s="76" t="s">
        <v>303</v>
      </c>
      <c r="E168" s="76" t="s">
        <v>319</v>
      </c>
      <c r="F168" s="101"/>
      <c r="G168" s="101"/>
      <c r="H168" s="101"/>
      <c r="I168" s="102"/>
    </row>
    <row r="169" spans="1:9" x14ac:dyDescent="0.3">
      <c r="A169" s="100">
        <f>ROW()-ROW(Table20[[#Headers],[NN°]])</f>
        <v>160</v>
      </c>
      <c r="B169" s="104" t="s">
        <v>313</v>
      </c>
      <c r="C169" s="103" t="str">
        <f>INDEX(Table20[[#This Row],[English]:[Other]],MATCH($D$1,$D$9:$I$9,0))</f>
        <v>The following outputs generated are:</v>
      </c>
      <c r="D169" s="76" t="s">
        <v>304</v>
      </c>
      <c r="E169" s="76" t="s">
        <v>318</v>
      </c>
      <c r="F169" s="101"/>
      <c r="G169" s="101"/>
      <c r="H169" s="101"/>
      <c r="I169" s="102"/>
    </row>
    <row r="170" spans="1:9" x14ac:dyDescent="0.3">
      <c r="A170" s="100">
        <f>ROW()-ROW(Table20[[#Headers],[NN°]])</f>
        <v>161</v>
      </c>
      <c r="B170" s="104" t="s">
        <v>313</v>
      </c>
      <c r="C170" s="103" t="str">
        <f>INDEX(Table20[[#This Row],[English]:[Other]],MATCH($D$1,$D$9:$I$9,0))</f>
        <v>Syringes for injection</v>
      </c>
      <c r="D170" s="76" t="s">
        <v>345</v>
      </c>
      <c r="E170" s="76" t="s">
        <v>346</v>
      </c>
      <c r="F170" s="101"/>
      <c r="G170" s="101"/>
      <c r="H170" s="101"/>
      <c r="I170" s="102"/>
    </row>
    <row r="171" spans="1:9" x14ac:dyDescent="0.3">
      <c r="A171" s="100">
        <f>ROW()-ROW(Table20[[#Headers],[NN°]])</f>
        <v>162</v>
      </c>
      <c r="B171" s="104" t="s">
        <v>313</v>
      </c>
      <c r="C171" s="103" t="str">
        <f>INDEX(Table20[[#This Row],[English]:[Other]],MATCH($D$1,$D$9:$I$9,0))</f>
        <v>Syringes for a month</v>
      </c>
      <c r="D171" s="76" t="s">
        <v>347</v>
      </c>
      <c r="E171" s="76" t="s">
        <v>348</v>
      </c>
      <c r="F171" s="101"/>
      <c r="G171" s="101"/>
      <c r="H171" s="101"/>
      <c r="I171" s="102"/>
    </row>
    <row r="172" spans="1:9" x14ac:dyDescent="0.3">
      <c r="A172" s="100">
        <f>ROW()-ROW(Table20[[#Headers],[NN°]])</f>
        <v>163</v>
      </c>
      <c r="B172" s="104" t="s">
        <v>313</v>
      </c>
      <c r="C172" s="103" t="str">
        <f>INDEX(Table20[[#This Row],[English]:[Other]],MATCH($D$1,$D$9:$I$9,0))</f>
        <v>Safety boxes, 5l</v>
      </c>
      <c r="D172" s="76" t="s">
        <v>349</v>
      </c>
      <c r="E172" s="76" t="s">
        <v>350</v>
      </c>
      <c r="F172" s="101"/>
      <c r="G172" s="101"/>
      <c r="H172" s="101"/>
      <c r="I172" s="102"/>
    </row>
    <row r="173" spans="1:9" ht="23.15" x14ac:dyDescent="0.3">
      <c r="A173" s="100">
        <f>ROW()-ROW(Table20[[#Headers],[NN°]])</f>
        <v>164</v>
      </c>
      <c r="B173" s="104" t="s">
        <v>313</v>
      </c>
      <c r="C173" s="103" t="str">
        <f>INDEX(Table20[[#This Row],[English]:[Other]],MATCH($D$1,$D$9:$I$9,0))</f>
        <v>Estimation of annual demand of safe injection supplies (units)</v>
      </c>
      <c r="D173" s="76" t="s">
        <v>355</v>
      </c>
      <c r="E173" s="76" t="s">
        <v>356</v>
      </c>
      <c r="F173" s="101"/>
      <c r="G173" s="101"/>
      <c r="H173" s="101"/>
      <c r="I173" s="102"/>
    </row>
    <row r="174" spans="1:9" x14ac:dyDescent="0.3">
      <c r="A174" s="100">
        <f>ROW()-ROW(Table20[[#Headers],[NN°]])</f>
        <v>165</v>
      </c>
      <c r="B174" s="104" t="s">
        <v>313</v>
      </c>
      <c r="C174" s="103" t="str">
        <f>INDEX(Table20[[#This Row],[English]:[Other]],MATCH($D$1,$D$9:$I$9,0))</f>
        <v>vaccines</v>
      </c>
      <c r="D174" s="76" t="s">
        <v>359</v>
      </c>
      <c r="E174" s="76" t="s">
        <v>360</v>
      </c>
      <c r="F174" s="101"/>
      <c r="G174" s="101"/>
      <c r="H174" s="101"/>
      <c r="I174" s="102"/>
    </row>
    <row r="175" spans="1:9" x14ac:dyDescent="0.3">
      <c r="A175" s="100">
        <f>ROW()-ROW(Table20[[#Headers],[NN°]])</f>
        <v>166</v>
      </c>
      <c r="B175" s="104" t="s">
        <v>313</v>
      </c>
      <c r="C175" s="103" t="str">
        <f>INDEX(Table20[[#This Row],[English]:[Other]],MATCH($D$1,$D$9:$I$9,0))</f>
        <v>safe injection equipment</v>
      </c>
      <c r="D175" s="76" t="s">
        <v>362</v>
      </c>
      <c r="E175" s="76" t="s">
        <v>361</v>
      </c>
      <c r="F175" s="101"/>
      <c r="G175" s="101"/>
      <c r="H175" s="101"/>
      <c r="I175" s="102"/>
    </row>
  </sheetData>
  <sheetProtection sheet="1" objects="1" scenarios="1"/>
  <pageMargins left="0.75" right="0.75" top="1" bottom="1" header="0.5" footer="0.5"/>
  <pageSetup paperSize="9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30</vt:i4>
      </vt:variant>
    </vt:vector>
  </HeadingPairs>
  <TitlesOfParts>
    <vt:vector size="33" baseType="lpstr">
      <vt:lpstr>simulation</vt:lpstr>
      <vt:lpstr>calculus</vt:lpstr>
      <vt:lpstr>Translation</vt:lpstr>
      <vt:lpstr>activity_type</vt:lpstr>
      <vt:lpstr>administration</vt:lpstr>
      <vt:lpstr>Annual_target_population</vt:lpstr>
      <vt:lpstr>Closed_vial_wastage_per_level</vt:lpstr>
      <vt:lpstr>dilution</vt:lpstr>
      <vt:lpstr>group_cible</vt:lpstr>
      <vt:lpstr>l_ldl</vt:lpstr>
      <vt:lpstr>l_sn</vt:lpstr>
      <vt:lpstr>Langues</vt:lpstr>
      <vt:lpstr>ldl</vt:lpstr>
      <vt:lpstr>levels</vt:lpstr>
      <vt:lpstr>lower_facilities</vt:lpstr>
      <vt:lpstr>mdvp</vt:lpstr>
      <vt:lpstr>mdvp_vax</vt:lpstr>
      <vt:lpstr>n_1</vt:lpstr>
      <vt:lpstr>n_2</vt:lpstr>
      <vt:lpstr>n_3</vt:lpstr>
      <vt:lpstr>n_4</vt:lpstr>
      <vt:lpstr>nivo</vt:lpstr>
      <vt:lpstr>no</vt:lpstr>
      <vt:lpstr>No._of_doses_in_the_schedule</vt:lpstr>
      <vt:lpstr>No._of_weeks_in_year</vt:lpstr>
      <vt:lpstr>Opened_vial_wastage</vt:lpstr>
      <vt:lpstr>pr</vt:lpstr>
      <vt:lpstr>sn</vt:lpstr>
      <vt:lpstr>solo</vt:lpstr>
      <vt:lpstr>sp</vt:lpstr>
      <vt:lpstr>Sublevels</vt:lpstr>
      <vt:lpstr>subnat</vt:lpstr>
      <vt:lpstr>Target_coverage</vt:lpstr>
    </vt:vector>
  </TitlesOfParts>
  <Company>WHO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KONE, Souleymane</dc:creator>
  <cp:lastModifiedBy>KONE, Souleymane</cp:lastModifiedBy>
  <cp:lastPrinted>2021-05-15T09:35:18Z</cp:lastPrinted>
  <dcterms:created xsi:type="dcterms:W3CDTF">2012-11-25T06:59:57Z</dcterms:created>
  <dcterms:modified xsi:type="dcterms:W3CDTF">2023-03-02T15:26:10Z</dcterms:modified>
</cp:coreProperties>
</file>